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ovacic\Desktop\Za objavu\"/>
    </mc:Choice>
  </mc:AlternateContent>
  <bookViews>
    <workbookView xWindow="540" yWindow="60" windowWidth="22935" windowHeight="20940" tabRatio="806"/>
  </bookViews>
  <sheets>
    <sheet name="Sažetak" sheetId="1" r:id="rId1"/>
    <sheet name="Izvještaj po ekonomskoj klasif" sheetId="2" r:id="rId2"/>
    <sheet name="Izvještaj po izvorima financir" sheetId="3" r:id="rId3"/>
    <sheet name="Izvještaj po funkcijskoj klasif" sheetId="4" r:id="rId4"/>
    <sheet name="Posebni dio" sheetId="8" r:id="rId5"/>
  </sheets>
  <externalReferences>
    <externalReference r:id="rId6"/>
    <externalReference r:id="rId7"/>
  </externalReferences>
  <definedNames>
    <definedName name="đpđpđšpđšp" localSheetId="0">#REF!</definedName>
    <definedName name="đpđpđšpđšp">#REF!</definedName>
    <definedName name="_xlnm.Print_Titles" localSheetId="1">'Izvještaj po ekonomskoj klasif'!$7:$8</definedName>
    <definedName name="_xlnm.Print_Titles" localSheetId="3">'Izvještaj po funkcijskoj klasif'!$7:$8</definedName>
    <definedName name="_xlnm.Print_Titles" localSheetId="2">'Izvještaj po izvorima financir'!$7:$8</definedName>
    <definedName name="_xlnm.Print_Titles" localSheetId="4">'Posebni dio'!$7:$8</definedName>
    <definedName name="_xlnm.Print_Area" localSheetId="1">'Izvještaj po ekonomskoj klasif'!$A$1:$G$137</definedName>
    <definedName name="_xlnm.Print_Area" localSheetId="3">'Izvještaj po funkcijskoj klasif'!$A$1:$G$23</definedName>
    <definedName name="_xlnm.Print_Area" localSheetId="2">'Izvještaj po izvorima financir'!$A$1:$G$66</definedName>
    <definedName name="_xlnm.Print_Area" localSheetId="4">'Posebni dio'!$A$1:$E$194</definedName>
    <definedName name="_xlnm.Print_Area" localSheetId="0">Sažetak!$A$1:$F$25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 s="1"/>
  <c r="D24" i="1"/>
  <c r="D25" i="1" s="1"/>
  <c r="C24" i="1"/>
  <c r="C25" i="1" s="1"/>
  <c r="E23" i="1"/>
  <c r="D10" i="3"/>
  <c r="C10" i="3"/>
  <c r="B10" i="3"/>
  <c r="E10" i="3"/>
  <c r="C12" i="3"/>
  <c r="D12" i="3"/>
  <c r="E12" i="3"/>
  <c r="B12" i="3"/>
  <c r="B39" i="2"/>
  <c r="E39" i="2"/>
  <c r="F106" i="2"/>
  <c r="E41" i="2"/>
  <c r="D10" i="8" l="1"/>
  <c r="D157" i="8"/>
  <c r="D130" i="8"/>
  <c r="D123" i="8"/>
  <c r="D122" i="8" s="1"/>
  <c r="E122" i="8" s="1"/>
  <c r="D82" i="8"/>
  <c r="D48" i="8"/>
  <c r="D36" i="8"/>
  <c r="D29" i="8"/>
  <c r="D24" i="8"/>
  <c r="D56" i="8"/>
  <c r="D55" i="8" s="1"/>
  <c r="E55" i="8" s="1"/>
  <c r="D63" i="8"/>
  <c r="D71" i="8"/>
  <c r="D21" i="8"/>
  <c r="D16" i="8"/>
  <c r="D193" i="8"/>
  <c r="D192" i="8" s="1"/>
  <c r="D191" i="8" s="1"/>
  <c r="D190" i="8" s="1"/>
  <c r="D189" i="8" s="1"/>
  <c r="C191" i="8"/>
  <c r="C190" i="8" s="1"/>
  <c r="C189" i="8" s="1"/>
  <c r="B191" i="8"/>
  <c r="B190" i="8" s="1"/>
  <c r="B189" i="8" s="1"/>
  <c r="C183" i="8"/>
  <c r="B183" i="8"/>
  <c r="D187" i="8"/>
  <c r="C179" i="8"/>
  <c r="B179" i="8"/>
  <c r="D185" i="8"/>
  <c r="D184" i="8" s="1"/>
  <c r="D183" i="8" s="1"/>
  <c r="D181" i="8"/>
  <c r="B147" i="8"/>
  <c r="C80" i="8"/>
  <c r="B80" i="8"/>
  <c r="B79" i="8" s="1"/>
  <c r="B78" i="8" s="1"/>
  <c r="C14" i="8"/>
  <c r="C61" i="8"/>
  <c r="B61" i="8"/>
  <c r="B14" i="8"/>
  <c r="D114" i="8"/>
  <c r="D112" i="8"/>
  <c r="D102" i="8"/>
  <c r="D96" i="8"/>
  <c r="D91" i="8"/>
  <c r="D87" i="8"/>
  <c r="D85" i="8"/>
  <c r="D76" i="8"/>
  <c r="D74" i="8"/>
  <c r="D175" i="8"/>
  <c r="D172" i="8" s="1"/>
  <c r="D147" i="8" s="1"/>
  <c r="D173" i="8"/>
  <c r="D170" i="8"/>
  <c r="D168" i="8"/>
  <c r="D165" i="8"/>
  <c r="D155" i="8"/>
  <c r="D151" i="8"/>
  <c r="D149" i="8"/>
  <c r="C147" i="8"/>
  <c r="D143" i="8"/>
  <c r="D141" i="8"/>
  <c r="D138" i="8"/>
  <c r="D137" i="8" s="1"/>
  <c r="E137" i="8" s="1"/>
  <c r="D135" i="8"/>
  <c r="D133" i="8"/>
  <c r="D131" i="8"/>
  <c r="D128" i="8"/>
  <c r="D127" i="8" s="1"/>
  <c r="E127" i="8" s="1"/>
  <c r="D46" i="8"/>
  <c r="D19" i="8"/>
  <c r="D81" i="8" l="1"/>
  <c r="D90" i="8"/>
  <c r="E90" i="8" s="1"/>
  <c r="D15" i="8"/>
  <c r="D23" i="8"/>
  <c r="D62" i="8"/>
  <c r="E62" i="8" s="1"/>
  <c r="C10" i="8"/>
  <c r="C9" i="8" s="1"/>
  <c r="C79" i="8"/>
  <c r="C78" i="8" s="1"/>
  <c r="E189" i="8"/>
  <c r="B13" i="8"/>
  <c r="B12" i="8" s="1"/>
  <c r="D180" i="8"/>
  <c r="D179" i="8" s="1"/>
  <c r="D178" i="8" s="1"/>
  <c r="B178" i="8"/>
  <c r="B177" i="8" s="1"/>
  <c r="E190" i="8"/>
  <c r="B10" i="8"/>
  <c r="B9" i="8" s="1"/>
  <c r="C13" i="8"/>
  <c r="C12" i="8" s="1"/>
  <c r="E191" i="8"/>
  <c r="E192" i="8"/>
  <c r="C178" i="8"/>
  <c r="C177" i="8" s="1"/>
  <c r="E183" i="8"/>
  <c r="D73" i="8"/>
  <c r="E73" i="8" s="1"/>
  <c r="D148" i="8"/>
  <c r="D154" i="8"/>
  <c r="D140" i="8"/>
  <c r="D80" i="8" s="1"/>
  <c r="D14" i="8" l="1"/>
  <c r="D61" i="8"/>
  <c r="E61" i="8" s="1"/>
  <c r="C11" i="8"/>
  <c r="B11" i="8"/>
  <c r="D177" i="8"/>
  <c r="E177" i="8" s="1"/>
  <c r="E178" i="8"/>
  <c r="E184" i="8"/>
  <c r="E148" i="8"/>
  <c r="E147" i="8"/>
  <c r="E81" i="8"/>
  <c r="E80" i="8"/>
  <c r="E180" i="8"/>
  <c r="E15" i="8"/>
  <c r="E179" i="8"/>
  <c r="E130" i="8"/>
  <c r="E172" i="8"/>
  <c r="E154" i="8"/>
  <c r="E23" i="8"/>
  <c r="E140" i="8"/>
  <c r="D9" i="8" l="1"/>
  <c r="E9" i="8" s="1"/>
  <c r="D79" i="8"/>
  <c r="D13" i="8"/>
  <c r="E14" i="8"/>
  <c r="E10" i="8" l="1"/>
  <c r="D78" i="8"/>
  <c r="E78" i="8" s="1"/>
  <c r="E79" i="8"/>
  <c r="E13" i="8"/>
  <c r="D12" i="8"/>
  <c r="E12" i="8" l="1"/>
  <c r="D11" i="8"/>
  <c r="E11" i="8" s="1"/>
  <c r="C20" i="4" l="1"/>
  <c r="D20" i="4"/>
  <c r="E20" i="4"/>
  <c r="C12" i="4"/>
  <c r="D12" i="4"/>
  <c r="E12" i="4"/>
  <c r="B20" i="4"/>
  <c r="B12" i="4"/>
  <c r="G23" i="4"/>
  <c r="F23" i="4"/>
  <c r="G22" i="4"/>
  <c r="F22" i="4"/>
  <c r="G21" i="4"/>
  <c r="G19" i="4"/>
  <c r="F19" i="4"/>
  <c r="G18" i="4"/>
  <c r="F18" i="4"/>
  <c r="G17" i="4"/>
  <c r="F17" i="4"/>
  <c r="G16" i="4"/>
  <c r="F16" i="4"/>
  <c r="G15" i="4"/>
  <c r="G14" i="4"/>
  <c r="F14" i="4"/>
  <c r="G13" i="4"/>
  <c r="F13" i="4"/>
  <c r="D39" i="2"/>
  <c r="C39" i="2"/>
  <c r="D108" i="2"/>
  <c r="C108" i="2"/>
  <c r="E50" i="2"/>
  <c r="E55" i="2"/>
  <c r="E62" i="2"/>
  <c r="E72" i="2"/>
  <c r="E74" i="2"/>
  <c r="E83" i="2"/>
  <c r="D10" i="2"/>
  <c r="C10" i="2"/>
  <c r="D33" i="2"/>
  <c r="C33" i="2"/>
  <c r="E46" i="2"/>
  <c r="E44" i="2"/>
  <c r="E82" i="2"/>
  <c r="E89" i="2"/>
  <c r="E88" i="2" s="1"/>
  <c r="E92" i="2"/>
  <c r="E94" i="2"/>
  <c r="E96" i="2"/>
  <c r="E99" i="2"/>
  <c r="E98" i="2" s="1"/>
  <c r="E102" i="2"/>
  <c r="E104" i="2"/>
  <c r="E108" i="2"/>
  <c r="E38" i="2" s="1"/>
  <c r="E110" i="2"/>
  <c r="E112" i="2"/>
  <c r="E116" i="2"/>
  <c r="E118" i="2"/>
  <c r="E126" i="2"/>
  <c r="E129" i="2"/>
  <c r="E131" i="2"/>
  <c r="E134" i="2"/>
  <c r="E136" i="2"/>
  <c r="B72" i="2"/>
  <c r="B92" i="2"/>
  <c r="B110" i="2"/>
  <c r="B126" i="2"/>
  <c r="B129" i="2"/>
  <c r="B131" i="2"/>
  <c r="E9" i="4" l="1"/>
  <c r="E10" i="4" s="1"/>
  <c r="E11" i="4" s="1"/>
  <c r="E109" i="2"/>
  <c r="E101" i="2"/>
  <c r="E91" i="2"/>
  <c r="E49" i="2"/>
  <c r="E133" i="2"/>
  <c r="E115" i="2"/>
  <c r="E40" i="2"/>
  <c r="B9" i="4"/>
  <c r="B10" i="4" s="1"/>
  <c r="C9" i="4"/>
  <c r="C10" i="4" s="1"/>
  <c r="C11" i="4" s="1"/>
  <c r="D9" i="4"/>
  <c r="D10" i="4" s="1"/>
  <c r="G20" i="4"/>
  <c r="G12" i="4"/>
  <c r="F20" i="4"/>
  <c r="F15" i="4"/>
  <c r="F21" i="4"/>
  <c r="D38" i="2"/>
  <c r="C38" i="2"/>
  <c r="F10" i="4" l="1"/>
  <c r="B11" i="4"/>
  <c r="F11" i="4" s="1"/>
  <c r="D11" i="4"/>
  <c r="G11" i="4" s="1"/>
  <c r="G10" i="4"/>
  <c r="G9" i="4"/>
  <c r="F9" i="4"/>
  <c r="F12" i="4"/>
  <c r="B137" i="2" l="1"/>
  <c r="B135" i="2"/>
  <c r="B125" i="2"/>
  <c r="F125" i="2" s="1"/>
  <c r="B120" i="2"/>
  <c r="F120" i="2" s="1"/>
  <c r="B119" i="2"/>
  <c r="F119" i="2" s="1"/>
  <c r="B117" i="2"/>
  <c r="B114" i="2"/>
  <c r="B105" i="2"/>
  <c r="B103" i="2"/>
  <c r="B100" i="2"/>
  <c r="B97" i="2"/>
  <c r="B95" i="2"/>
  <c r="B90" i="2"/>
  <c r="B86" i="2"/>
  <c r="F86" i="2" s="1"/>
  <c r="B85" i="2"/>
  <c r="F85" i="2" s="1"/>
  <c r="B84" i="2"/>
  <c r="B81" i="2"/>
  <c r="F81" i="2" s="1"/>
  <c r="B80" i="2"/>
  <c r="F80" i="2" s="1"/>
  <c r="B79" i="2"/>
  <c r="F79" i="2" s="1"/>
  <c r="B78" i="2"/>
  <c r="F78" i="2" s="1"/>
  <c r="B77" i="2"/>
  <c r="F77" i="2" s="1"/>
  <c r="B76" i="2"/>
  <c r="F76" i="2" s="1"/>
  <c r="B75" i="2"/>
  <c r="B71" i="2"/>
  <c r="F71" i="2" s="1"/>
  <c r="B70" i="2"/>
  <c r="F70" i="2" s="1"/>
  <c r="B69" i="2"/>
  <c r="F69" i="2" s="1"/>
  <c r="B68" i="2"/>
  <c r="F68" i="2" s="1"/>
  <c r="B67" i="2"/>
  <c r="F67" i="2" s="1"/>
  <c r="B66" i="2"/>
  <c r="F66" i="2" s="1"/>
  <c r="B65" i="2"/>
  <c r="F65" i="2" s="1"/>
  <c r="B64" i="2"/>
  <c r="F64" i="2" s="1"/>
  <c r="B63" i="2"/>
  <c r="B61" i="2"/>
  <c r="F61" i="2" s="1"/>
  <c r="B60" i="2"/>
  <c r="F60" i="2" s="1"/>
  <c r="B58" i="2"/>
  <c r="F58" i="2" s="1"/>
  <c r="B57" i="2"/>
  <c r="F57" i="2" s="1"/>
  <c r="B56" i="2"/>
  <c r="B53" i="2"/>
  <c r="F53" i="2" s="1"/>
  <c r="B52" i="2"/>
  <c r="F52" i="2" s="1"/>
  <c r="B51" i="2"/>
  <c r="B48" i="2"/>
  <c r="F48" i="2" s="1"/>
  <c r="B47" i="2"/>
  <c r="B45" i="2"/>
  <c r="B42" i="2"/>
  <c r="G40" i="2"/>
  <c r="G133" i="2"/>
  <c r="G115" i="2"/>
  <c r="G109" i="2"/>
  <c r="G108" i="2"/>
  <c r="G101" i="2"/>
  <c r="G98" i="2"/>
  <c r="G91" i="2"/>
  <c r="G88" i="2"/>
  <c r="G82" i="2"/>
  <c r="G49" i="2"/>
  <c r="G39" i="2"/>
  <c r="B57" i="3"/>
  <c r="C53" i="3"/>
  <c r="D53" i="3"/>
  <c r="E53" i="3"/>
  <c r="B62" i="3"/>
  <c r="B61" i="3"/>
  <c r="B60" i="3"/>
  <c r="C64" i="3"/>
  <c r="D64" i="3"/>
  <c r="E64" i="3"/>
  <c r="B64" i="3"/>
  <c r="B65" i="3"/>
  <c r="F65" i="3" s="1"/>
  <c r="B49" i="3"/>
  <c r="B46" i="3"/>
  <c r="B45" i="3"/>
  <c r="B44" i="3"/>
  <c r="B43" i="3"/>
  <c r="B42" i="3"/>
  <c r="B41" i="3"/>
  <c r="B40" i="3"/>
  <c r="B56" i="3"/>
  <c r="B37" i="3"/>
  <c r="B36" i="3"/>
  <c r="B35" i="3"/>
  <c r="B32" i="3" s="1"/>
  <c r="B14" i="3"/>
  <c r="B13" i="3"/>
  <c r="B19" i="3"/>
  <c r="B18" i="3"/>
  <c r="B29" i="3"/>
  <c r="B22" i="3"/>
  <c r="E35" i="2"/>
  <c r="E34" i="2" s="1"/>
  <c r="E33" i="2"/>
  <c r="B36" i="2"/>
  <c r="B33" i="2" s="1"/>
  <c r="B32" i="2"/>
  <c r="B31" i="2" s="1"/>
  <c r="B25" i="2"/>
  <c r="F25" i="2" s="1"/>
  <c r="B24" i="2"/>
  <c r="F24" i="2" s="1"/>
  <c r="B21" i="2"/>
  <c r="B20" i="2" s="1"/>
  <c r="B19" i="2" s="1"/>
  <c r="B18" i="2"/>
  <c r="F18" i="2" s="1"/>
  <c r="B16" i="2"/>
  <c r="F16" i="2" s="1"/>
  <c r="B13" i="2"/>
  <c r="E31" i="2"/>
  <c r="E29" i="2"/>
  <c r="E28" i="2" s="1"/>
  <c r="E26" i="2"/>
  <c r="E23" i="2"/>
  <c r="E20" i="2"/>
  <c r="E15" i="2"/>
  <c r="E10" i="2"/>
  <c r="E12" i="2"/>
  <c r="E11" i="2" s="1"/>
  <c r="B26" i="2"/>
  <c r="B29" i="2"/>
  <c r="B53" i="3" l="1"/>
  <c r="B31" i="3" s="1"/>
  <c r="B99" i="2"/>
  <c r="F100" i="2"/>
  <c r="B116" i="2"/>
  <c r="F116" i="2" s="1"/>
  <c r="F117" i="2"/>
  <c r="B134" i="2"/>
  <c r="F135" i="2"/>
  <c r="B41" i="2"/>
  <c r="F42" i="2"/>
  <c r="B50" i="2"/>
  <c r="F51" i="2"/>
  <c r="F63" i="2"/>
  <c r="B62" i="2"/>
  <c r="F62" i="2" s="1"/>
  <c r="B83" i="2"/>
  <c r="F84" i="2"/>
  <c r="B94" i="2"/>
  <c r="F95" i="2"/>
  <c r="B104" i="2"/>
  <c r="F104" i="2" s="1"/>
  <c r="F105" i="2"/>
  <c r="B44" i="2"/>
  <c r="F44" i="2" s="1"/>
  <c r="F45" i="2"/>
  <c r="B74" i="2"/>
  <c r="F74" i="2" s="1"/>
  <c r="F75" i="2"/>
  <c r="B96" i="2"/>
  <c r="F96" i="2" s="1"/>
  <c r="F97" i="2"/>
  <c r="B112" i="2"/>
  <c r="F114" i="2"/>
  <c r="B10" i="2"/>
  <c r="B9" i="2" s="1"/>
  <c r="B46" i="2"/>
  <c r="F46" i="2" s="1"/>
  <c r="F47" i="2"/>
  <c r="F56" i="2"/>
  <c r="B55" i="2"/>
  <c r="F55" i="2" s="1"/>
  <c r="F90" i="2"/>
  <c r="B89" i="2"/>
  <c r="B102" i="2"/>
  <c r="F102" i="2" s="1"/>
  <c r="F103" i="2"/>
  <c r="B136" i="2"/>
  <c r="F136" i="2" s="1"/>
  <c r="F137" i="2"/>
  <c r="B118" i="2"/>
  <c r="B108" i="2"/>
  <c r="F108" i="2" s="1"/>
  <c r="F39" i="2"/>
  <c r="G10" i="2"/>
  <c r="G28" i="2"/>
  <c r="E22" i="2"/>
  <c r="B35" i="2"/>
  <c r="F36" i="2"/>
  <c r="F21" i="2"/>
  <c r="C9" i="2"/>
  <c r="B28" i="2"/>
  <c r="G38" i="2"/>
  <c r="D9" i="2"/>
  <c r="F33" i="2"/>
  <c r="E14" i="2"/>
  <c r="G14" i="2" s="1"/>
  <c r="F32" i="2"/>
  <c r="F31" i="2"/>
  <c r="B23" i="2"/>
  <c r="B22" i="2" s="1"/>
  <c r="F20" i="2"/>
  <c r="B15" i="2"/>
  <c r="B12" i="2"/>
  <c r="F13" i="2"/>
  <c r="E19" i="2"/>
  <c r="G11" i="2"/>
  <c r="E9" i="2"/>
  <c r="B101" i="2" l="1"/>
  <c r="F101" i="2" s="1"/>
  <c r="B88" i="2"/>
  <c r="F88" i="2" s="1"/>
  <c r="F89" i="2"/>
  <c r="B91" i="2"/>
  <c r="F91" i="2" s="1"/>
  <c r="F94" i="2"/>
  <c r="B40" i="2"/>
  <c r="F40" i="2" s="1"/>
  <c r="F41" i="2"/>
  <c r="B109" i="2"/>
  <c r="F109" i="2" s="1"/>
  <c r="F112" i="2"/>
  <c r="B115" i="2"/>
  <c r="F115" i="2" s="1"/>
  <c r="F118" i="2"/>
  <c r="F83" i="2"/>
  <c r="B82" i="2"/>
  <c r="F82" i="2" s="1"/>
  <c r="B49" i="2"/>
  <c r="F49" i="2" s="1"/>
  <c r="F50" i="2"/>
  <c r="B133" i="2"/>
  <c r="F133" i="2" s="1"/>
  <c r="F134" i="2"/>
  <c r="B98" i="2"/>
  <c r="F98" i="2" s="1"/>
  <c r="F99" i="2"/>
  <c r="F28" i="2"/>
  <c r="G9" i="2"/>
  <c r="B38" i="2"/>
  <c r="F38" i="2" s="1"/>
  <c r="F22" i="2"/>
  <c r="G22" i="2"/>
  <c r="F35" i="2"/>
  <c r="B34" i="2"/>
  <c r="F23" i="2"/>
  <c r="F9" i="2"/>
  <c r="F10" i="2"/>
  <c r="B14" i="2"/>
  <c r="F14" i="2" s="1"/>
  <c r="F15" i="2"/>
  <c r="F12" i="2"/>
  <c r="B11" i="2"/>
  <c r="F11" i="2" s="1"/>
  <c r="G19" i="2"/>
  <c r="F19" i="2"/>
  <c r="F34" i="2" l="1"/>
  <c r="F36" i="3"/>
  <c r="G36" i="3"/>
  <c r="G14" i="3" l="1"/>
  <c r="F14" i="3"/>
  <c r="G13" i="3"/>
  <c r="F13" i="3"/>
  <c r="D11" i="3"/>
  <c r="C11" i="3"/>
  <c r="B11" i="3"/>
  <c r="G66" i="3"/>
  <c r="D63" i="3"/>
  <c r="C63" i="3"/>
  <c r="E63" i="3"/>
  <c r="B63" i="3"/>
  <c r="B59" i="3"/>
  <c r="B58" i="3" s="1"/>
  <c r="G62" i="3"/>
  <c r="F62" i="3"/>
  <c r="G61" i="3"/>
  <c r="F61" i="3"/>
  <c r="G60" i="3"/>
  <c r="F60" i="3"/>
  <c r="E59" i="3"/>
  <c r="E58" i="3" s="1"/>
  <c r="D59" i="3"/>
  <c r="D58" i="3" s="1"/>
  <c r="C59" i="3"/>
  <c r="C58" i="3" s="1"/>
  <c r="C55" i="3"/>
  <c r="C54" i="3" s="1"/>
  <c r="F45" i="3"/>
  <c r="G45" i="3"/>
  <c r="F44" i="3"/>
  <c r="G44" i="3"/>
  <c r="F43" i="3"/>
  <c r="G43" i="3"/>
  <c r="F42" i="3"/>
  <c r="G42" i="3"/>
  <c r="F41" i="3"/>
  <c r="G41" i="3"/>
  <c r="E32" i="3"/>
  <c r="D32" i="3"/>
  <c r="C32" i="3"/>
  <c r="B39" i="3"/>
  <c r="B38" i="3" s="1"/>
  <c r="B34" i="3"/>
  <c r="B33" i="3" s="1"/>
  <c r="G52" i="3"/>
  <c r="E51" i="3"/>
  <c r="D51" i="3"/>
  <c r="D50" i="3" s="1"/>
  <c r="C51" i="3"/>
  <c r="C50" i="3" s="1"/>
  <c r="B51" i="3"/>
  <c r="B50" i="3" s="1"/>
  <c r="E50" i="3"/>
  <c r="G49" i="3"/>
  <c r="F49" i="3"/>
  <c r="E48" i="3"/>
  <c r="D48" i="3"/>
  <c r="D47" i="3" s="1"/>
  <c r="C48" i="3"/>
  <c r="C47" i="3" s="1"/>
  <c r="B48" i="3"/>
  <c r="B47" i="3" s="1"/>
  <c r="G46" i="3"/>
  <c r="F46" i="3"/>
  <c r="G40" i="3"/>
  <c r="F40" i="3"/>
  <c r="E39" i="3"/>
  <c r="D39" i="3"/>
  <c r="D38" i="3" s="1"/>
  <c r="C39" i="3"/>
  <c r="C38" i="3" s="1"/>
  <c r="G37" i="3"/>
  <c r="F37" i="3"/>
  <c r="G35" i="3"/>
  <c r="F35" i="3"/>
  <c r="E34" i="3"/>
  <c r="D34" i="3"/>
  <c r="D33" i="3" s="1"/>
  <c r="C34" i="3"/>
  <c r="C33" i="3" s="1"/>
  <c r="E17" i="3"/>
  <c r="E16" i="3" s="1"/>
  <c r="D17" i="3"/>
  <c r="C17" i="3"/>
  <c r="B17" i="3"/>
  <c r="B16" i="3" s="1"/>
  <c r="G19" i="3"/>
  <c r="F19" i="3"/>
  <c r="E55" i="3"/>
  <c r="D55" i="3"/>
  <c r="D54" i="3" s="1"/>
  <c r="B55" i="3"/>
  <c r="G56" i="3"/>
  <c r="F56" i="3"/>
  <c r="F18" i="3"/>
  <c r="F29" i="3"/>
  <c r="G25" i="3"/>
  <c r="G22" i="3"/>
  <c r="F22" i="3"/>
  <c r="G18" i="3"/>
  <c r="G57" i="3"/>
  <c r="F57" i="3"/>
  <c r="E28" i="3"/>
  <c r="E27" i="3" s="1"/>
  <c r="D28" i="3"/>
  <c r="D27" i="3" s="1"/>
  <c r="C28" i="3"/>
  <c r="C27" i="3" s="1"/>
  <c r="E26" i="3"/>
  <c r="D26" i="3"/>
  <c r="C26" i="3"/>
  <c r="E24" i="3"/>
  <c r="E23" i="3" s="1"/>
  <c r="D24" i="3"/>
  <c r="D23" i="3" s="1"/>
  <c r="C24" i="3"/>
  <c r="C23" i="3" s="1"/>
  <c r="E21" i="3"/>
  <c r="E20" i="3" s="1"/>
  <c r="D21" i="3"/>
  <c r="D20" i="3" s="1"/>
  <c r="C21" i="3"/>
  <c r="C20" i="3" s="1"/>
  <c r="C16" i="3"/>
  <c r="B28" i="3"/>
  <c r="B27" i="3" s="1"/>
  <c r="B24" i="3"/>
  <c r="B23" i="3" s="1"/>
  <c r="B21" i="3"/>
  <c r="B20" i="3" s="1"/>
  <c r="B26" i="3"/>
  <c r="B23" i="1"/>
  <c r="B22" i="1"/>
  <c r="B13" i="1"/>
  <c r="B12" i="1"/>
  <c r="B10" i="1"/>
  <c r="B9" i="1"/>
  <c r="F63" i="3" l="1"/>
  <c r="G64" i="3"/>
  <c r="F64" i="3"/>
  <c r="G32" i="3"/>
  <c r="G12" i="3"/>
  <c r="E11" i="3"/>
  <c r="F12" i="3"/>
  <c r="G53" i="3"/>
  <c r="G63" i="3"/>
  <c r="F59" i="3"/>
  <c r="F20" i="3"/>
  <c r="G17" i="3"/>
  <c r="G48" i="3"/>
  <c r="F58" i="3"/>
  <c r="G59" i="3"/>
  <c r="G58" i="3"/>
  <c r="C31" i="3"/>
  <c r="G50" i="3"/>
  <c r="G51" i="3"/>
  <c r="C9" i="3"/>
  <c r="G39" i="3"/>
  <c r="F27" i="3"/>
  <c r="F55" i="3"/>
  <c r="B9" i="3"/>
  <c r="D31" i="3"/>
  <c r="F53" i="3"/>
  <c r="F34" i="3"/>
  <c r="E33" i="3"/>
  <c r="G34" i="3"/>
  <c r="F32" i="3"/>
  <c r="F39" i="3"/>
  <c r="F48" i="3"/>
  <c r="E31" i="3"/>
  <c r="E38" i="3"/>
  <c r="E47" i="3"/>
  <c r="F16" i="3"/>
  <c r="D16" i="3"/>
  <c r="G16" i="3" s="1"/>
  <c r="G20" i="3"/>
  <c r="E54" i="3"/>
  <c r="G54" i="3" s="1"/>
  <c r="F17" i="3"/>
  <c r="B54" i="3"/>
  <c r="G21" i="3"/>
  <c r="G23" i="3"/>
  <c r="D9" i="3"/>
  <c r="G55" i="3"/>
  <c r="F26" i="3"/>
  <c r="F28" i="3"/>
  <c r="G24" i="3"/>
  <c r="F21" i="3"/>
  <c r="G10" i="3"/>
  <c r="E9" i="3"/>
  <c r="F10" i="3"/>
  <c r="B24" i="1"/>
  <c r="G11" i="3" l="1"/>
  <c r="F11" i="3"/>
  <c r="G31" i="3"/>
  <c r="F31" i="3"/>
  <c r="G47" i="3"/>
  <c r="F47" i="3"/>
  <c r="G38" i="3"/>
  <c r="F38" i="3"/>
  <c r="G33" i="3"/>
  <c r="F33" i="3"/>
  <c r="F54" i="3"/>
  <c r="G9" i="3"/>
  <c r="F9" i="3"/>
  <c r="F23" i="1" l="1"/>
  <c r="F22" i="1"/>
  <c r="E14" i="1"/>
  <c r="D14" i="1"/>
  <c r="C14" i="1"/>
  <c r="B14" i="1"/>
  <c r="F13" i="1"/>
  <c r="F12" i="1"/>
  <c r="E11" i="1"/>
  <c r="D11" i="1"/>
  <c r="C11" i="1"/>
  <c r="B11" i="1"/>
  <c r="F9" i="1"/>
  <c r="B15" i="1" l="1"/>
  <c r="B25" i="1" s="1"/>
  <c r="C15" i="1"/>
  <c r="F11" i="1"/>
  <c r="D15" i="1"/>
  <c r="F14" i="1"/>
  <c r="E15" i="1"/>
</calcChain>
</file>

<file path=xl/sharedStrings.xml><?xml version="1.0" encoding="utf-8"?>
<sst xmlns="http://schemas.openxmlformats.org/spreadsheetml/2006/main" count="464" uniqueCount="178">
  <si>
    <t>I. OPĆI DIO</t>
  </si>
  <si>
    <t>A. RAČUN PRIHODA I RASHODA</t>
  </si>
  <si>
    <t>BROJČANA OZNAKA I NAZIV</t>
  </si>
  <si>
    <t>INDEKS</t>
  </si>
  <si>
    <t>6=5/4*100</t>
  </si>
  <si>
    <t>6 PRIHODI POSLOVANJA</t>
  </si>
  <si>
    <t>7 PRIHODI OD PRODAJE NEFINANCIJSKE IMOVINE</t>
  </si>
  <si>
    <t>UKUPNI PRIHODI</t>
  </si>
  <si>
    <t>3 RASHODI POSLOVANJA</t>
  </si>
  <si>
    <t>4 RASHODI ZA NABAVU NEFINANCIJSKE IMOVINE</t>
  </si>
  <si>
    <t>UKUPNI RASHODI</t>
  </si>
  <si>
    <t>RAZLIKA - VIŠAK / MANJAK</t>
  </si>
  <si>
    <t>PRIJENOS SREDSTAVA IZ PRETHODNE GODINE</t>
  </si>
  <si>
    <t>SAŽETAK A. RAČUNA PRIHODA I RASHODA I B. RAČUNA FINANCIRANJA</t>
  </si>
  <si>
    <t>IZVORNI PLAN     2023.</t>
  </si>
  <si>
    <t>TEKUĆI PLAN     2023.</t>
  </si>
  <si>
    <t>NETO FINANCIRANJE</t>
  </si>
  <si>
    <t>VIŠAK / MANJAK + NETO FINANCIRANJE</t>
  </si>
  <si>
    <t>PRIJENOS SREDSTAVA U SLJEDEĆE RAZDOBLJE</t>
  </si>
  <si>
    <t>POLUGODIŠNJI IZVJEŠTAJ O IZVRŠENJU FINANCIJSKOG PLANA                                                                                    JAVNE USTANOVE "NACIONALNI PARK PLITVIČKA JEZERA" ZA 2023. GODINU</t>
  </si>
  <si>
    <t>SAŽETAK RAČUNA PRIHODA I RASHODA</t>
  </si>
  <si>
    <t>SAŽETAK RAČUNA FINANCIRANJA</t>
  </si>
  <si>
    <t>6=5/2*100</t>
  </si>
  <si>
    <t>7=5/4*100</t>
  </si>
  <si>
    <t>PRIHODI PREMA IZVORIMA FINANCIRANJA</t>
  </si>
  <si>
    <t>Izvor: 3 Vlastiti prihodi</t>
  </si>
  <si>
    <t>Izvor: 31 Vlastiti prihodi</t>
  </si>
  <si>
    <t>Izvor: 43 Ostali prihodi za posebne namjene</t>
  </si>
  <si>
    <t>Izvor: 5 Pomoći</t>
  </si>
  <si>
    <t>Izvor: 6 Donacije</t>
  </si>
  <si>
    <t>Izvor: 61 Donacije</t>
  </si>
  <si>
    <t>Izvor: 7 Prihodi od prodaje ili zamjene nefinancijske imovine i naknade s naslova osiguranja</t>
  </si>
  <si>
    <t>Izvor: 71 Prihodi od prodaje ili zamjene nefinancijske imovine i naknade s naslova osiguranja</t>
  </si>
  <si>
    <t>PRIHODI PREMA EKONOMSKOJ KLASIFIKACIJI</t>
  </si>
  <si>
    <t>64 Prihodi od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</si>
  <si>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</si>
  <si>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</si>
  <si>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</si>
  <si>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6526 Ostali nespomenuti prihodi</t>
  </si>
  <si>
    <t>66 Prihodi od prodaje proizvoda i robe te pruženih usluga i prihodi od donacija te povrati po protestiranim jamstvima</t>
  </si>
  <si>
    <t>6614 Prihodi od prodaje proizvoda i robe</t>
  </si>
  <si>
    <t>6615 Prihodi od pruženih usluga</t>
  </si>
  <si>
    <t>6631 Tekuće donacije</t>
  </si>
  <si>
    <t>68 Kazne, upravne mjere i ostali prihodi</t>
  </si>
  <si>
    <t>6831 Ostali prihodi</t>
  </si>
  <si>
    <t>72 Prihodi od prodaje proizvedene dugotrajne imovine</t>
  </si>
  <si>
    <t>7231 Prijevozna sredstva u cestovnom prometu</t>
  </si>
  <si>
    <t>65 Prihodi od upravnih i administrativnih pristojbi, pristojbi po posebnim propisima i naknada</t>
  </si>
  <si>
    <t>RASHODI PREMA IZVORIMA FINANCIRANJA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</si>
  <si>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</si>
  <si>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</si>
  <si>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</si>
  <si>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</si>
  <si>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</si>
  <si>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</si>
  <si>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</si>
  <si>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Izvor: 52 Ostale pomoći i darovnice</t>
  </si>
  <si>
    <t>OSTVARENJE/ IZVRŠENJE          1. - 6. 2022.</t>
  </si>
  <si>
    <t>OSTVARENJE/ IZVRŠENJE          1. - 6. 2023.</t>
  </si>
  <si>
    <t>42 Rashodi za nabavu proizvedene dugotrajne imovine</t>
  </si>
  <si>
    <t>45 Rashodi za dodatna ulaganja na nefinancijskoj imovini</t>
  </si>
  <si>
    <t>41 Rashodi za nabavu neproizvedene dugotrajne imovine</t>
  </si>
  <si>
    <t>634 Pomoći od izvanproračunskih korisnika</t>
  </si>
  <si>
    <t>641 Prihodi od financijske imovine</t>
  </si>
  <si>
    <t>652 Prihodi po posebnim propisima</t>
  </si>
  <si>
    <t xml:space="preserve">661 Prihodi od prodaje proizvoda i robe te pruženih usluga </t>
  </si>
  <si>
    <t>681 Kazne i upravne mjere</t>
  </si>
  <si>
    <t>683 Ostali prihodi</t>
  </si>
  <si>
    <t>63 Pomoći iz inozemstva i od subjekata unutar općeg proračuna</t>
  </si>
  <si>
    <t>6342 Kapitalne pomoći od izvanproračunskih korisnika</t>
  </si>
  <si>
    <t>66 Prihodi od prodaje proizvoda i robe te pruženih usluga, prihodi od donacija te povrati po protestiranim jamstvima</t>
  </si>
  <si>
    <t>663 Donacije od pravnih i fizičkih osoba izvan općeg proračuna i povrat donacija po protestiranim jamstvima</t>
  </si>
  <si>
    <t>6819 Ostale kazne</t>
  </si>
  <si>
    <t>723 Prihodi od prodaje prijevoznih sredstava</t>
  </si>
  <si>
    <t>RASHODI PREMA EKONOMSKOJ KLASIFIKACIJI</t>
  </si>
  <si>
    <t>3111 Plaće za redovan rad</t>
  </si>
  <si>
    <t>3121 Ostali rashodi za zaposlene</t>
  </si>
  <si>
    <t>3131 Doprinosi za mirovinsko osiguranje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</si>
  <si>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</si>
  <si>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</si>
  <si>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</si>
  <si>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</si>
  <si>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</si>
  <si>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</si>
  <si>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</si>
  <si>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</si>
  <si>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</si>
  <si>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</si>
  <si>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</si>
  <si>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</si>
  <si>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</si>
  <si>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</si>
  <si>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</si>
  <si>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</si>
  <si>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</si>
  <si>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</si>
  <si>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</si>
  <si>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</si>
  <si>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</si>
  <si>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</si>
  <si>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</si>
  <si>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</si>
  <si>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</si>
  <si>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</si>
  <si>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</si>
  <si>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</si>
  <si>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</si>
  <si>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</si>
  <si>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</si>
  <si>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3631 Tekuće pomoći unutar općeg proračuna</t>
  </si>
  <si>
    <t>3661 Tekuće pomoći proračunskim korisnicima drugih proračuna</t>
  </si>
  <si>
    <t>3691 Tekući prijenosi između proračunskih korisnika istog proračuna</t>
  </si>
  <si>
    <t>3721 Naknade građanima i kućanstvima u novcu</t>
  </si>
  <si>
    <t>3811 Tekuće donacije u novcu</t>
  </si>
  <si>
    <t>3831 Naknade šteta pravnim i fizičkim osobama</t>
  </si>
  <si>
    <t>3833 Naknade šteta zaposlenicima</t>
  </si>
  <si>
    <t>3835 Ostale kazne</t>
  </si>
  <si>
    <t>4111 Zemljište</t>
  </si>
  <si>
    <t>4123 Licence</t>
  </si>
  <si>
    <t>4124 Ostala prava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</si>
  <si>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</si>
  <si>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</si>
  <si>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</si>
  <si>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</si>
  <si>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</si>
  <si>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</si>
  <si>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</si>
  <si>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</si>
  <si>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4231 Prijevozna sredstva u cestovnom prometu</t>
  </si>
  <si>
    <t>4233 Prijevozna sredstva u pomorskom i riječnom prometu</t>
  </si>
  <si>
    <t>4244 Ostale nespomenute izložbene vrijednosti</t>
  </si>
  <si>
    <t>4262 Ulaganja u računalne programe</t>
  </si>
  <si>
    <t>4511 Dodatna ulaganja na građevinskim objektima</t>
  </si>
  <si>
    <t>4521 Dodatna ulaganja na postrojenjima i opremi</t>
  </si>
  <si>
    <t>311 Plaće (Bruto)</t>
  </si>
  <si>
    <t>312 Ostali rashodi za zaposlene</t>
  </si>
  <si>
    <t>313 Doprinosi na plaće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</si>
  <si>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</si>
  <si>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</si>
  <si>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</si>
  <si>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</si>
  <si>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</si>
  <si>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3294 Članarine i norme</t>
  </si>
  <si>
    <t>343 Ostali financijski rashodi</t>
  </si>
  <si>
    <t>351 Subvencije trgovačkim društvima u javnom sektoru</t>
  </si>
  <si>
    <t>3512 Subvencije trgovačkim društvima u javnom sektoru</t>
  </si>
  <si>
    <t>363 Pomoći unutar općeg proračuna</t>
  </si>
  <si>
    <t>366 Pomoći proračunskim korisnicima drugih proračuna</t>
  </si>
  <si>
    <t>369 Prijenosi između proračunskih korisnika istog proračuna</t>
  </si>
  <si>
    <t>372 Ostale naknade građanima i kućanstvima iz proračuna</t>
  </si>
  <si>
    <t>381 Tekuće donacije</t>
  </si>
  <si>
    <t>383 Kazne, penali i naknade štete</t>
  </si>
  <si>
    <t>411 Materijalna imovina - prirodna bogatstva</t>
  </si>
  <si>
    <t>412 Nematerijalna imovina</t>
  </si>
  <si>
    <t>421 Građevinski objekti</t>
  </si>
  <si>
    <t>422 Postrojenja i oprema</t>
  </si>
  <si>
    <t>423 Prijevozna sredstva</t>
  </si>
  <si>
    <t>424 Knjige, umjetnička djela i ostale izložbene vrijednosti</t>
  </si>
  <si>
    <t>426 Nematerijalna proizvedena imovina</t>
  </si>
  <si>
    <t>451 Dodatna ulaganja na građevinskim objektima</t>
  </si>
  <si>
    <t>452 Dodatna ulaganja na postrojenjima i opremi</t>
  </si>
  <si>
    <t>05 ZAŠTITA OKOLIŠA</t>
  </si>
  <si>
    <t>054 Zaštita bioraznolikosti i krajolika</t>
  </si>
  <si>
    <t>RASHODI PREMA FUNKCIJSKOJ KLASIFIKACIJI</t>
  </si>
  <si>
    <t>A3. IZVJEŠTAJ O RASHODIMA PREMA FUNKCIJSKOJ KLASIFIKACIJI</t>
  </si>
  <si>
    <t>A2. IZVJEŠTAJ O PRIHODIMA I RASHODIMA PREMA IZVORIMA FINANCIRANJA</t>
  </si>
  <si>
    <t>A1. IZVJEŠTAJ O PRIHODIMA I RASHODIMA PREMA EKONOMSKOJ KLASIFIKACIJI</t>
  </si>
  <si>
    <t>II. POSEBNI DIO</t>
  </si>
  <si>
    <t>5=4/3*100</t>
  </si>
  <si>
    <t>3401 ZAŠTITA PRIRODE</t>
  </si>
  <si>
    <t>A779047 ADMINISTRACIJA I UPRAVLJANJE (IZ EVIDENCIJSKIH PRIHODA)</t>
  </si>
  <si>
    <t>IZVRŠENJE RASHODA I IZDATAKA PO IZVORIMA FINANCIRANJA, EKONOMSKOJ I PROGRAMSKOJ KLASIFIKACIJI</t>
  </si>
  <si>
    <t>Izvor: 4 Prihodi za posebne namjene</t>
  </si>
  <si>
    <t>37 Naknade građanima i kućanstvima na temelju osiguranja i dr.naknade</t>
  </si>
  <si>
    <t>3112 Plaće u naravi</t>
  </si>
  <si>
    <t>RASHODI SVEUKUPNO</t>
  </si>
  <si>
    <t>POLUGODIŠNJI IZVJEŠTAJ O IZVRŠENJU FINANCIJSKOG PLANA                                                                                                                                                                          JAVNE USTANOVE "NACIONALNI PARK PLITVIČKA JEZERA" ZA 2023. GODINU</t>
  </si>
  <si>
    <t>POLUGODIŠNJI IZVJEŠTAJ O IZVRŠENJU FINANCIJSKOG PLANA                                                                                                                                                                        JAVNE USTANOVE "NACIONALNI PARK PLITVIČKA JEZERA"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</si>
</sst>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b/>
      <sz val="12"/>
      <name val="Arial"/>
      <family val="2"/>
      <charset val="238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Verdana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2" borderId="0" xfId="0" applyFont="1" applyFill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10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indent="1"/>
    </xf>
    <xf numFmtId="4" fontId="11" fillId="2" borderId="1" xfId="0" applyNumberFormat="1" applyFont="1" applyFill="1" applyBorder="1" applyAlignment="1">
      <alignment horizontal="right" vertical="center" wrapText="1" indent="1"/>
    </xf>
    <xf numFmtId="2" fontId="11" fillId="2" borderId="1" xfId="0" applyNumberFormat="1" applyFont="1" applyFill="1" applyBorder="1" applyAlignment="1">
      <alignment horizontal="right" vertical="center" wrapText="1" inden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wrapText="1" indent="3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indent="1"/>
    </xf>
    <xf numFmtId="2" fontId="8" fillId="2" borderId="2" xfId="0" applyNumberFormat="1" applyFont="1" applyFill="1" applyBorder="1" applyAlignment="1">
      <alignment horizontal="right" vertical="center" wrapText="1" inden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right" vertical="center" wrapText="1" indent="1"/>
    </xf>
    <xf numFmtId="2" fontId="11" fillId="2" borderId="2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right" vertical="center" wrapText="1" indent="1"/>
    </xf>
    <xf numFmtId="2" fontId="8" fillId="4" borderId="2" xfId="0" applyNumberFormat="1" applyFont="1" applyFill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right" vertical="center" wrapText="1" indent="1"/>
    </xf>
    <xf numFmtId="2" fontId="5" fillId="5" borderId="2" xfId="0" applyNumberFormat="1" applyFont="1" applyFill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left" vertical="center" wrapText="1" indent="2"/>
    </xf>
    <xf numFmtId="2" fontId="8" fillId="5" borderId="2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 wrapText="1" indent="2"/>
    </xf>
    <xf numFmtId="4" fontId="1" fillId="4" borderId="2" xfId="0" applyNumberFormat="1" applyFont="1" applyFill="1" applyBorder="1" applyAlignment="1">
      <alignment horizontal="right" vertical="center" wrapText="1" indent="1"/>
    </xf>
    <xf numFmtId="2" fontId="1" fillId="4" borderId="2" xfId="0" applyNumberFormat="1" applyFont="1" applyFill="1" applyBorder="1" applyAlignment="1">
      <alignment horizontal="right" vertical="center" wrapText="1" indent="1"/>
    </xf>
    <xf numFmtId="2" fontId="11" fillId="4" borderId="2" xfId="0" applyNumberFormat="1" applyFont="1" applyFill="1" applyBorder="1" applyAlignment="1">
      <alignment horizontal="right" vertical="center" wrapText="1" indent="1"/>
    </xf>
    <xf numFmtId="0" fontId="11" fillId="2" borderId="3" xfId="0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right" vertical="center" wrapText="1" indent="1"/>
    </xf>
    <xf numFmtId="2" fontId="11" fillId="2" borderId="4" xfId="0" applyNumberFormat="1" applyFont="1" applyFill="1" applyBorder="1" applyAlignment="1">
      <alignment horizontal="right" vertical="center" wrapText="1" indent="1"/>
    </xf>
    <xf numFmtId="0" fontId="2" fillId="6" borderId="7" xfId="0" applyFont="1" applyFill="1" applyBorder="1" applyAlignment="1">
      <alignment horizontal="left" indent="1"/>
    </xf>
    <xf numFmtId="0" fontId="2" fillId="6" borderId="8" xfId="0" applyFont="1" applyFill="1" applyBorder="1" applyAlignment="1">
      <alignment horizontal="left" indent="1"/>
    </xf>
    <xf numFmtId="0" fontId="2" fillId="6" borderId="9" xfId="0" applyFont="1" applyFill="1" applyBorder="1" applyAlignment="1">
      <alignment horizontal="left" indent="1"/>
    </xf>
    <xf numFmtId="4" fontId="8" fillId="5" borderId="1" xfId="0" applyNumberFormat="1" applyFont="1" applyFill="1" applyBorder="1" applyAlignment="1">
      <alignment horizontal="right" vertical="center" wrapText="1" indent="1"/>
    </xf>
    <xf numFmtId="2" fontId="8" fillId="5" borderId="1" xfId="0" applyNumberFormat="1" applyFont="1" applyFill="1" applyBorder="1" applyAlignment="1">
      <alignment horizontal="righ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4" fontId="8" fillId="4" borderId="6" xfId="0" applyNumberFormat="1" applyFont="1" applyFill="1" applyBorder="1" applyAlignment="1">
      <alignment horizontal="right" vertical="center" wrapText="1" indent="1"/>
    </xf>
    <xf numFmtId="2" fontId="8" fillId="4" borderId="6" xfId="0" applyNumberFormat="1" applyFont="1" applyFill="1" applyBorder="1" applyAlignment="1">
      <alignment horizontal="right" vertical="center" wrapText="1" indent="1"/>
    </xf>
    <xf numFmtId="0" fontId="5" fillId="5" borderId="10" xfId="0" applyFont="1" applyFill="1" applyBorder="1" applyAlignment="1">
      <alignment horizontal="left" vertical="center" wrapText="1"/>
    </xf>
    <xf numFmtId="4" fontId="5" fillId="5" borderId="11" xfId="0" applyNumberFormat="1" applyFont="1" applyFill="1" applyBorder="1" applyAlignment="1">
      <alignment horizontal="right" vertical="center" wrapText="1" indent="1"/>
    </xf>
    <xf numFmtId="2" fontId="5" fillId="5" borderId="11" xfId="0" applyNumberFormat="1" applyFont="1" applyFill="1" applyBorder="1" applyAlignment="1">
      <alignment horizontal="right" vertical="center" wrapText="1" indent="1"/>
    </xf>
    <xf numFmtId="2" fontId="5" fillId="5" borderId="9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indent="1"/>
    </xf>
    <xf numFmtId="0" fontId="13" fillId="0" borderId="0" xfId="0" applyFont="1"/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8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wrapText="1" indent="1"/>
    </xf>
    <xf numFmtId="4" fontId="8" fillId="2" borderId="2" xfId="0" applyNumberFormat="1" applyFont="1" applyFill="1" applyBorder="1" applyAlignment="1">
      <alignment horizontal="right" wrapText="1" indent="1"/>
    </xf>
    <xf numFmtId="0" fontId="11" fillId="2" borderId="2" xfId="0" applyFont="1" applyFill="1" applyBorder="1" applyAlignment="1">
      <alignment horizontal="left" wrapText="1" indent="1"/>
    </xf>
    <xf numFmtId="0" fontId="11" fillId="2" borderId="2" xfId="0" applyFont="1" applyFill="1" applyBorder="1" applyAlignment="1">
      <alignment horizontal="right" wrapText="1" indent="1"/>
    </xf>
    <xf numFmtId="0" fontId="11" fillId="2" borderId="1" xfId="0" applyFont="1" applyFill="1" applyBorder="1" applyAlignment="1">
      <alignment horizontal="left" wrapText="1"/>
    </xf>
    <xf numFmtId="0" fontId="17" fillId="0" borderId="0" xfId="0" applyFont="1" applyAlignment="1">
      <alignment horizontal="left" indent="1"/>
    </xf>
    <xf numFmtId="0" fontId="8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4" fontId="8" fillId="4" borderId="2" xfId="0" applyNumberFormat="1" applyFont="1" applyFill="1" applyBorder="1" applyAlignment="1">
      <alignment horizontal="right" wrapText="1" indent="1"/>
    </xf>
    <xf numFmtId="4" fontId="16" fillId="0" borderId="0" xfId="0" applyNumberFormat="1" applyFont="1"/>
    <xf numFmtId="0" fontId="16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indent="1"/>
    </xf>
    <xf numFmtId="0" fontId="5" fillId="5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wrapText="1" indent="1"/>
    </xf>
    <xf numFmtId="0" fontId="8" fillId="4" borderId="1" xfId="0" applyFont="1" applyFill="1" applyBorder="1" applyAlignment="1">
      <alignment horizontal="left" wrapText="1" indent="1"/>
    </xf>
    <xf numFmtId="0" fontId="8" fillId="2" borderId="1" xfId="0" applyFont="1" applyFill="1" applyBorder="1" applyAlignment="1">
      <alignment horizontal="left" wrapText="1" indent="2"/>
    </xf>
    <xf numFmtId="0" fontId="11" fillId="2" borderId="1" xfId="0" applyFont="1" applyFill="1" applyBorder="1" applyAlignment="1">
      <alignment horizontal="left" wrapText="1" indent="2"/>
    </xf>
    <xf numFmtId="0" fontId="11" fillId="2" borderId="1" xfId="0" applyFont="1" applyFill="1" applyBorder="1" applyAlignment="1">
      <alignment horizontal="left" indent="2"/>
    </xf>
    <xf numFmtId="0" fontId="8" fillId="4" borderId="1" xfId="0" applyFont="1" applyFill="1" applyBorder="1" applyAlignment="1">
      <alignment horizontal="left" wrapText="1" indent="2"/>
    </xf>
    <xf numFmtId="0" fontId="8" fillId="2" borderId="1" xfId="0" applyFont="1" applyFill="1" applyBorder="1" applyAlignment="1">
      <alignment horizontal="left" indent="2"/>
    </xf>
    <xf numFmtId="0" fontId="5" fillId="4" borderId="1" xfId="0" applyFont="1" applyFill="1" applyBorder="1" applyAlignment="1">
      <alignment horizontal="left" vertical="center" wrapText="1" indent="1"/>
    </xf>
    <xf numFmtId="4" fontId="5" fillId="4" borderId="2" xfId="0" applyNumberFormat="1" applyFont="1" applyFill="1" applyBorder="1" applyAlignment="1">
      <alignment horizontal="right" vertical="center" wrapText="1" indent="1"/>
    </xf>
    <xf numFmtId="2" fontId="5" fillId="4" borderId="2" xfId="0" applyNumberFormat="1" applyFont="1" applyFill="1" applyBorder="1" applyAlignment="1">
      <alignment horizontal="righ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Normal="100" zoomScaleSheetLayoutView="100" workbookViewId="0">
      <selection activeCell="A3" sqref="A3:F3"/>
    </sheetView>
  </sheetViews>
  <sheetFormatPr defaultRowHeight="11.25" x14ac:dyDescent="0.15"/>
  <cols>
    <col min="1" max="1" width="48.7109375" style="1" customWidth="1"/>
    <col min="2" max="5" width="15.85546875" style="1" customWidth="1"/>
    <col min="6" max="6" width="8" style="1" bestFit="1" customWidth="1"/>
    <col min="7" max="16384" width="9.140625" style="1"/>
  </cols>
  <sheetData>
    <row r="1" spans="1:8" s="2" customFormat="1" ht="37.5" customHeight="1" x14ac:dyDescent="0.25">
      <c r="A1" s="88" t="s">
        <v>19</v>
      </c>
      <c r="B1" s="88"/>
      <c r="C1" s="88"/>
      <c r="D1" s="88"/>
      <c r="E1" s="88"/>
      <c r="F1" s="88"/>
    </row>
    <row r="2" spans="1:8" x14ac:dyDescent="0.15">
      <c r="A2" s="3"/>
      <c r="B2" s="3"/>
      <c r="C2" s="3"/>
      <c r="D2" s="3"/>
      <c r="E2" s="3"/>
      <c r="F2" s="3"/>
    </row>
    <row r="3" spans="1:8" ht="15" x14ac:dyDescent="0.25">
      <c r="A3" s="89" t="s">
        <v>0</v>
      </c>
      <c r="B3" s="89"/>
      <c r="C3" s="89"/>
      <c r="D3" s="89"/>
      <c r="E3" s="89"/>
      <c r="F3" s="89"/>
    </row>
    <row r="4" spans="1:8" ht="45" customHeight="1" x14ac:dyDescent="0.15">
      <c r="A4" s="90" t="s">
        <v>13</v>
      </c>
      <c r="B4" s="90"/>
      <c r="C4" s="90"/>
      <c r="D4" s="90"/>
      <c r="E4" s="90"/>
      <c r="F4" s="90"/>
      <c r="G4" s="4"/>
    </row>
    <row r="5" spans="1:8" ht="12.75" x14ac:dyDescent="0.2">
      <c r="A5" s="14" t="s">
        <v>20</v>
      </c>
      <c r="B5" s="5"/>
    </row>
    <row r="7" spans="1:8" s="6" customFormat="1" ht="43.5" customHeight="1" x14ac:dyDescent="0.15">
      <c r="A7" s="15" t="s">
        <v>2</v>
      </c>
      <c r="B7" s="15" t="s">
        <v>57</v>
      </c>
      <c r="C7" s="15" t="s">
        <v>14</v>
      </c>
      <c r="D7" s="15" t="s">
        <v>15</v>
      </c>
      <c r="E7" s="15" t="s">
        <v>58</v>
      </c>
      <c r="F7" s="15" t="s">
        <v>3</v>
      </c>
      <c r="H7" s="4"/>
    </row>
    <row r="8" spans="1:8" s="8" customFormat="1" x14ac:dyDescent="0.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 t="s">
        <v>4</v>
      </c>
    </row>
    <row r="9" spans="1:8" s="11" customFormat="1" ht="18.75" customHeight="1" x14ac:dyDescent="0.25">
      <c r="A9" s="83" t="s">
        <v>5</v>
      </c>
      <c r="B9" s="9">
        <f>107699056.88/7.5345</f>
        <v>14294121.292720152</v>
      </c>
      <c r="C9" s="9">
        <v>48082366</v>
      </c>
      <c r="D9" s="9">
        <v>48082366</v>
      </c>
      <c r="E9" s="9">
        <v>18594260.41</v>
      </c>
      <c r="F9" s="10">
        <f>E9/D9*100</f>
        <v>38.671683523227621</v>
      </c>
    </row>
    <row r="10" spans="1:8" s="11" customFormat="1" ht="18.75" customHeight="1" x14ac:dyDescent="0.25">
      <c r="A10" s="84" t="s">
        <v>6</v>
      </c>
      <c r="B10" s="9">
        <f>53000/7.5345</f>
        <v>7034.3088459751807</v>
      </c>
      <c r="C10" s="9">
        <v>0</v>
      </c>
      <c r="D10" s="9">
        <v>0</v>
      </c>
      <c r="E10" s="9">
        <v>0</v>
      </c>
      <c r="F10" s="10"/>
    </row>
    <row r="11" spans="1:8" s="11" customFormat="1" ht="18.75" customHeight="1" x14ac:dyDescent="0.25">
      <c r="A11" s="85" t="s">
        <v>7</v>
      </c>
      <c r="B11" s="41">
        <f>SUM(B9:B10)</f>
        <v>14301155.601566127</v>
      </c>
      <c r="C11" s="41">
        <f>SUM(C9:C10)</f>
        <v>48082366</v>
      </c>
      <c r="D11" s="41">
        <f>SUM(D9:D10)</f>
        <v>48082366</v>
      </c>
      <c r="E11" s="41">
        <f>SUM(E9:E10)</f>
        <v>18594260.41</v>
      </c>
      <c r="F11" s="42">
        <f t="shared" ref="F11:F14" si="0">E11/D11*100</f>
        <v>38.671683523227621</v>
      </c>
    </row>
    <row r="12" spans="1:8" s="11" customFormat="1" ht="18.75" customHeight="1" x14ac:dyDescent="0.25">
      <c r="A12" s="83" t="s">
        <v>8</v>
      </c>
      <c r="B12" s="9">
        <f>83229933.12/7.5345</f>
        <v>11046510.4678479</v>
      </c>
      <c r="C12" s="9">
        <v>46494781</v>
      </c>
      <c r="D12" s="9">
        <v>46494781</v>
      </c>
      <c r="E12" s="9">
        <v>14174620.67</v>
      </c>
      <c r="F12" s="10">
        <f t="shared" si="0"/>
        <v>30.486476901568803</v>
      </c>
    </row>
    <row r="13" spans="1:8" s="11" customFormat="1" ht="18.75" customHeight="1" x14ac:dyDescent="0.25">
      <c r="A13" s="83" t="s">
        <v>9</v>
      </c>
      <c r="B13" s="9">
        <f>7779042.15/7.5345</f>
        <v>1032456.3209237508</v>
      </c>
      <c r="C13" s="9">
        <v>8515352</v>
      </c>
      <c r="D13" s="9">
        <v>8515352</v>
      </c>
      <c r="E13" s="9">
        <v>1092236.68</v>
      </c>
      <c r="F13" s="10">
        <f t="shared" si="0"/>
        <v>12.826676806783793</v>
      </c>
    </row>
    <row r="14" spans="1:8" s="11" customFormat="1" ht="18.75" customHeight="1" x14ac:dyDescent="0.25">
      <c r="A14" s="85" t="s">
        <v>10</v>
      </c>
      <c r="B14" s="41">
        <f>SUM(B12:B13)</f>
        <v>12078966.788771652</v>
      </c>
      <c r="C14" s="41">
        <f t="shared" ref="C14:E14" si="1">SUM(C12:C13)</f>
        <v>55010133</v>
      </c>
      <c r="D14" s="41">
        <f t="shared" si="1"/>
        <v>55010133</v>
      </c>
      <c r="E14" s="41">
        <f t="shared" si="1"/>
        <v>15266857.35</v>
      </c>
      <c r="F14" s="42">
        <f t="shared" si="0"/>
        <v>27.752809377864985</v>
      </c>
    </row>
    <row r="15" spans="1:8" s="11" customFormat="1" ht="18.75" customHeight="1" x14ac:dyDescent="0.25">
      <c r="A15" s="85" t="s">
        <v>11</v>
      </c>
      <c r="B15" s="41">
        <f>B11-B14</f>
        <v>2222188.8127944749</v>
      </c>
      <c r="C15" s="41">
        <f>C11-C14</f>
        <v>-6927767</v>
      </c>
      <c r="D15" s="41">
        <f>D11-D14</f>
        <v>-6927767</v>
      </c>
      <c r="E15" s="41">
        <f>E11-E14</f>
        <v>3327403.0600000005</v>
      </c>
      <c r="F15" s="42"/>
    </row>
    <row r="16" spans="1:8" s="2" customFormat="1" x14ac:dyDescent="0.25"/>
    <row r="17" spans="1:6" s="2" customFormat="1" x14ac:dyDescent="0.25"/>
    <row r="18" spans="1:6" s="2" customFormat="1" ht="12.75" x14ac:dyDescent="0.2">
      <c r="A18" s="14" t="s">
        <v>21</v>
      </c>
      <c r="B18" s="12"/>
    </row>
    <row r="19" spans="1:6" s="2" customFormat="1" x14ac:dyDescent="0.25"/>
    <row r="20" spans="1:6" s="13" customFormat="1" ht="43.5" customHeight="1" x14ac:dyDescent="0.25">
      <c r="A20" s="15" t="s">
        <v>2</v>
      </c>
      <c r="B20" s="15" t="s">
        <v>57</v>
      </c>
      <c r="C20" s="15" t="s">
        <v>14</v>
      </c>
      <c r="D20" s="15" t="s">
        <v>15</v>
      </c>
      <c r="E20" s="15" t="s">
        <v>58</v>
      </c>
      <c r="F20" s="15" t="s">
        <v>3</v>
      </c>
    </row>
    <row r="21" spans="1:6" s="11" customFormat="1" x14ac:dyDescent="0.25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 t="s">
        <v>4</v>
      </c>
    </row>
    <row r="22" spans="1:6" s="11" customFormat="1" ht="18.75" customHeight="1" x14ac:dyDescent="0.25">
      <c r="A22" s="83" t="s">
        <v>12</v>
      </c>
      <c r="B22" s="9">
        <f>317317363.62/7.5345</f>
        <v>42115251.658371486</v>
      </c>
      <c r="C22" s="9">
        <v>57037231</v>
      </c>
      <c r="D22" s="9">
        <v>57037231</v>
      </c>
      <c r="E22" s="9">
        <v>57037230.520000003</v>
      </c>
      <c r="F22" s="10">
        <f t="shared" ref="F22:F23" si="2">E22/D22*100</f>
        <v>99.999999158444425</v>
      </c>
    </row>
    <row r="23" spans="1:6" s="11" customFormat="1" ht="18.75" customHeight="1" x14ac:dyDescent="0.25">
      <c r="A23" s="83" t="s">
        <v>18</v>
      </c>
      <c r="B23" s="9">
        <f>-334060445.23/7.5345</f>
        <v>-44337440.47116597</v>
      </c>
      <c r="C23" s="9">
        <v>-50109464</v>
      </c>
      <c r="D23" s="9">
        <v>-50109464</v>
      </c>
      <c r="E23" s="9">
        <f>-E11-E22+E14</f>
        <v>-60364633.580000006</v>
      </c>
      <c r="F23" s="10">
        <f t="shared" si="2"/>
        <v>120.46553437490373</v>
      </c>
    </row>
    <row r="24" spans="1:6" s="11" customFormat="1" ht="18.75" customHeight="1" x14ac:dyDescent="0.25">
      <c r="A24" s="85" t="s">
        <v>16</v>
      </c>
      <c r="B24" s="41">
        <f>B22+B23</f>
        <v>-2222188.8127944842</v>
      </c>
      <c r="C24" s="41">
        <f>C22+C23</f>
        <v>6927767</v>
      </c>
      <c r="D24" s="41">
        <f>D22+D23</f>
        <v>6927767</v>
      </c>
      <c r="E24" s="41">
        <f>E22+E23</f>
        <v>-3327403.0600000024</v>
      </c>
      <c r="F24" s="42"/>
    </row>
    <row r="25" spans="1:6" s="11" customFormat="1" ht="18.75" customHeight="1" x14ac:dyDescent="0.25">
      <c r="A25" s="83" t="s">
        <v>17</v>
      </c>
      <c r="B25" s="9">
        <f>B15+B24</f>
        <v>-9.3132257461547852E-9</v>
      </c>
      <c r="C25" s="9">
        <f t="shared" ref="C25:E25" si="3">C15+C24</f>
        <v>0</v>
      </c>
      <c r="D25" s="9">
        <f t="shared" si="3"/>
        <v>0</v>
      </c>
      <c r="E25" s="9">
        <f t="shared" si="3"/>
        <v>0</v>
      </c>
      <c r="F25" s="10"/>
    </row>
    <row r="30" spans="1:6" x14ac:dyDescent="0.15">
      <c r="B30" s="71"/>
    </row>
  </sheetData>
  <mergeCells count="3">
    <mergeCell ref="A1:F1"/>
    <mergeCell ref="A3:F3"/>
    <mergeCell ref="A4:F4"/>
  </mergeCells>
  <printOptions horizontalCentered="1"/>
  <pageMargins left="0.35433070866141736" right="0.35433070866141736" top="0.59055118110236227" bottom="0.98425196850393704" header="0.51181102362204722" footer="0.51181102362204722"/>
  <pageSetup paperSize="9" orientation="landscape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showGridLines="0" view="pageBreakPreview" zoomScaleNormal="100" zoomScaleSheetLayoutView="100" workbookViewId="0">
      <pane ySplit="9" topLeftCell="A10" activePane="bottomLeft" state="frozen"/>
      <selection pane="bottomLeft" activeCell="A5" sqref="A5"/>
    </sheetView>
  </sheetViews>
  <sheetFormatPr defaultRowHeight="14.25" x14ac:dyDescent="0.2"/>
  <cols>
    <col min="1" max="1" width="52.140625" style="52" customWidth="1"/>
    <col min="2" max="5" width="15.85546875" style="52" customWidth="1"/>
    <col min="6" max="16384" width="9.140625" style="52"/>
  </cols>
  <sheetData>
    <row r="1" spans="1:7" ht="33" customHeight="1" x14ac:dyDescent="0.2">
      <c r="A1" s="88" t="s">
        <v>176</v>
      </c>
      <c r="B1" s="88"/>
      <c r="C1" s="88"/>
      <c r="D1" s="88"/>
      <c r="E1" s="88"/>
      <c r="F1" s="88"/>
      <c r="G1" s="88"/>
    </row>
    <row r="2" spans="1:7" x14ac:dyDescent="0.2">
      <c r="A2" s="53"/>
      <c r="B2" s="54"/>
      <c r="C2" s="54"/>
      <c r="D2" s="54"/>
      <c r="E2" s="54"/>
      <c r="F2" s="54"/>
    </row>
    <row r="3" spans="1:7" ht="15" x14ac:dyDescent="0.25">
      <c r="A3" s="89" t="s">
        <v>0</v>
      </c>
      <c r="B3" s="89"/>
      <c r="C3" s="89"/>
      <c r="D3" s="89"/>
      <c r="E3" s="89"/>
      <c r="F3" s="89"/>
      <c r="G3" s="89"/>
    </row>
    <row r="4" spans="1:7" ht="33" customHeight="1" x14ac:dyDescent="0.2">
      <c r="A4" s="90" t="s">
        <v>1</v>
      </c>
      <c r="B4" s="90"/>
      <c r="C4" s="90"/>
      <c r="D4" s="90"/>
      <c r="E4" s="90"/>
      <c r="F4" s="90"/>
      <c r="G4" s="90"/>
    </row>
    <row r="5" spans="1:7" x14ac:dyDescent="0.2">
      <c r="A5" s="51" t="s">
        <v>166</v>
      </c>
    </row>
    <row r="7" spans="1:7" ht="39.950000000000003" customHeight="1" x14ac:dyDescent="0.2">
      <c r="A7" s="23" t="s">
        <v>2</v>
      </c>
      <c r="B7" s="15" t="s">
        <v>57</v>
      </c>
      <c r="C7" s="15" t="s">
        <v>14</v>
      </c>
      <c r="D7" s="15" t="s">
        <v>15</v>
      </c>
      <c r="E7" s="15" t="s">
        <v>58</v>
      </c>
      <c r="F7" s="23" t="s">
        <v>3</v>
      </c>
      <c r="G7" s="23" t="s">
        <v>3</v>
      </c>
    </row>
    <row r="8" spans="1:7" ht="13.5" customHeight="1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 t="s">
        <v>22</v>
      </c>
      <c r="G8" s="16" t="s">
        <v>23</v>
      </c>
    </row>
    <row r="9" spans="1:7" ht="13.5" customHeight="1" x14ac:dyDescent="0.2">
      <c r="A9" s="26" t="s">
        <v>33</v>
      </c>
      <c r="B9" s="27">
        <f>B10+B33</f>
        <v>14301155.601566127</v>
      </c>
      <c r="C9" s="27">
        <f t="shared" ref="C9:E9" si="0">C10+C33</f>
        <v>48082366</v>
      </c>
      <c r="D9" s="27">
        <f t="shared" si="0"/>
        <v>48082366</v>
      </c>
      <c r="E9" s="27">
        <f t="shared" si="0"/>
        <v>18594260.409999996</v>
      </c>
      <c r="F9" s="28">
        <f>E9/B9*100</f>
        <v>130.01928604960938</v>
      </c>
      <c r="G9" s="28">
        <f>E9/D9*100</f>
        <v>38.671683523227614</v>
      </c>
    </row>
    <row r="10" spans="1:7" ht="13.5" customHeight="1" x14ac:dyDescent="0.2">
      <c r="A10" s="55" t="s">
        <v>5</v>
      </c>
      <c r="B10" s="24">
        <f>B13+B16+B17+B18+B21+B24+B25+B27+B30+B32</f>
        <v>14294121.292720152</v>
      </c>
      <c r="C10" s="24">
        <f>C11+C14+C19+C22+C28</f>
        <v>48082366</v>
      </c>
      <c r="D10" s="24">
        <f>D11+D14+D19+D22+D28</f>
        <v>48082366</v>
      </c>
      <c r="E10" s="24">
        <f t="shared" ref="E10" si="1">E13+E16+E17+E18+E21+E24+E25+E27+E30+E32</f>
        <v>18594260.409999996</v>
      </c>
      <c r="F10" s="25">
        <f t="shared" ref="F10:F36" si="2">E10/B10*100</f>
        <v>130.0832701025831</v>
      </c>
      <c r="G10" s="25">
        <f t="shared" ref="G10:G28" si="3">E10/D10*100</f>
        <v>38.671683523227614</v>
      </c>
    </row>
    <row r="11" spans="1:7" ht="25.5" x14ac:dyDescent="0.2">
      <c r="A11" s="19" t="s">
        <v>68</v>
      </c>
      <c r="B11" s="17">
        <f>B12</f>
        <v>14130.524918707279</v>
      </c>
      <c r="C11" s="17">
        <v>125906</v>
      </c>
      <c r="D11" s="17">
        <v>125906</v>
      </c>
      <c r="E11" s="17">
        <f t="shared" ref="E11:E12" si="4">E12</f>
        <v>118840.37</v>
      </c>
      <c r="F11" s="18">
        <f t="shared" si="2"/>
        <v>841.01879217995827</v>
      </c>
      <c r="G11" s="18">
        <f t="shared" si="3"/>
        <v>94.388170539926605</v>
      </c>
    </row>
    <row r="12" spans="1:7" ht="13.5" customHeight="1" x14ac:dyDescent="0.2">
      <c r="A12" s="56" t="s">
        <v>62</v>
      </c>
      <c r="B12" s="17">
        <f>B13</f>
        <v>14130.524918707279</v>
      </c>
      <c r="C12" s="17"/>
      <c r="D12" s="17"/>
      <c r="E12" s="17">
        <f t="shared" si="4"/>
        <v>118840.37</v>
      </c>
      <c r="F12" s="18">
        <f t="shared" si="2"/>
        <v>841.01879217995827</v>
      </c>
      <c r="G12" s="18"/>
    </row>
    <row r="13" spans="1:7" ht="13.5" customHeight="1" x14ac:dyDescent="0.2">
      <c r="A13" s="20" t="s">
        <v>69</v>
      </c>
      <c r="B13" s="21">
        <f>106466.44/7.5345</f>
        <v>14130.524918707279</v>
      </c>
      <c r="C13" s="21"/>
      <c r="D13" s="21"/>
      <c r="E13" s="21">
        <v>118840.37</v>
      </c>
      <c r="F13" s="22">
        <f t="shared" si="2"/>
        <v>841.01879217995827</v>
      </c>
      <c r="G13" s="22"/>
    </row>
    <row r="14" spans="1:7" ht="13.5" customHeight="1" x14ac:dyDescent="0.2">
      <c r="A14" s="19" t="s">
        <v>34</v>
      </c>
      <c r="B14" s="17">
        <f>B15</f>
        <v>74.108434534474753</v>
      </c>
      <c r="C14" s="17">
        <v>3451</v>
      </c>
      <c r="D14" s="17">
        <v>3451</v>
      </c>
      <c r="E14" s="17">
        <f t="shared" ref="E14" si="5">E15</f>
        <v>2644.54</v>
      </c>
      <c r="F14" s="18">
        <f t="shared" si="2"/>
        <v>3568.4737056073927</v>
      </c>
      <c r="G14" s="18">
        <f t="shared" si="3"/>
        <v>76.63112141408287</v>
      </c>
    </row>
    <row r="15" spans="1:7" ht="13.5" customHeight="1" x14ac:dyDescent="0.2">
      <c r="A15" s="56" t="s">
        <v>63</v>
      </c>
      <c r="B15" s="17">
        <f>SUM(B16:B18)</f>
        <v>74.108434534474753</v>
      </c>
      <c r="C15" s="17"/>
      <c r="D15" s="17"/>
      <c r="E15" s="17">
        <f t="shared" ref="E15" si="6">SUM(E16:E18)</f>
        <v>2644.54</v>
      </c>
      <c r="F15" s="18">
        <f t="shared" si="2"/>
        <v>3568.4737056073927</v>
      </c>
      <c r="G15" s="18"/>
    </row>
    <row r="16" spans="1:7" ht="13.5" customHeight="1" x14ac:dyDescent="0.2">
      <c r="A16" s="20" t="s">
        <v>35</v>
      </c>
      <c r="B16" s="21">
        <f>386.8/7.5345</f>
        <v>51.337182294777357</v>
      </c>
      <c r="C16" s="21"/>
      <c r="D16" s="21"/>
      <c r="E16" s="21">
        <v>239.62</v>
      </c>
      <c r="F16" s="22">
        <f t="shared" si="2"/>
        <v>466.75721044467429</v>
      </c>
      <c r="G16" s="22"/>
    </row>
    <row r="17" spans="1:7" ht="13.5" customHeight="1" x14ac:dyDescent="0.2">
      <c r="A17" s="20" t="s">
        <v>36</v>
      </c>
      <c r="B17" s="21">
        <v>0</v>
      </c>
      <c r="C17" s="21"/>
      <c r="D17" s="21"/>
      <c r="E17" s="21">
        <v>2404.92</v>
      </c>
      <c r="F17" s="22"/>
      <c r="G17" s="22"/>
    </row>
    <row r="18" spans="1:7" ht="25.5" x14ac:dyDescent="0.2">
      <c r="A18" s="20" t="s">
        <v>37</v>
      </c>
      <c r="B18" s="21">
        <f>171.57/7.5345</f>
        <v>22.77125223969739</v>
      </c>
      <c r="C18" s="21"/>
      <c r="D18" s="21"/>
      <c r="E18" s="21">
        <v>0</v>
      </c>
      <c r="F18" s="22">
        <f t="shared" si="2"/>
        <v>0</v>
      </c>
      <c r="G18" s="22"/>
    </row>
    <row r="19" spans="1:7" ht="25.5" x14ac:dyDescent="0.2">
      <c r="A19" s="19" t="s">
        <v>47</v>
      </c>
      <c r="B19" s="17">
        <f>B20</f>
        <v>7459704.6771517685</v>
      </c>
      <c r="C19" s="17">
        <v>29373600</v>
      </c>
      <c r="D19" s="17">
        <v>29373600</v>
      </c>
      <c r="E19" s="17">
        <f t="shared" ref="E19:E20" si="7">E20</f>
        <v>10205264.029999999</v>
      </c>
      <c r="F19" s="18">
        <f t="shared" si="2"/>
        <v>136.8052017026568</v>
      </c>
      <c r="G19" s="18">
        <f t="shared" si="3"/>
        <v>34.74298019309856</v>
      </c>
    </row>
    <row r="20" spans="1:7" ht="13.5" customHeight="1" x14ac:dyDescent="0.2">
      <c r="A20" s="56" t="s">
        <v>64</v>
      </c>
      <c r="B20" s="17">
        <f>B21</f>
        <v>7459704.6771517685</v>
      </c>
      <c r="C20" s="17"/>
      <c r="D20" s="17"/>
      <c r="E20" s="17">
        <f t="shared" si="7"/>
        <v>10205264.029999999</v>
      </c>
      <c r="F20" s="18">
        <f t="shared" si="2"/>
        <v>136.8052017026568</v>
      </c>
      <c r="G20" s="18"/>
    </row>
    <row r="21" spans="1:7" ht="13.5" customHeight="1" x14ac:dyDescent="0.2">
      <c r="A21" s="20" t="s">
        <v>38</v>
      </c>
      <c r="B21" s="21">
        <f>56205144.89/7.5345</f>
        <v>7459704.6771517685</v>
      </c>
      <c r="C21" s="21"/>
      <c r="D21" s="21"/>
      <c r="E21" s="21">
        <v>10205264.029999999</v>
      </c>
      <c r="F21" s="22">
        <f t="shared" si="2"/>
        <v>136.8052017026568</v>
      </c>
      <c r="G21" s="22"/>
    </row>
    <row r="22" spans="1:7" ht="38.25" x14ac:dyDescent="0.2">
      <c r="A22" s="19" t="s">
        <v>70</v>
      </c>
      <c r="B22" s="17">
        <f>B23+B26</f>
        <v>5638430.4174132319</v>
      </c>
      <c r="C22" s="17">
        <v>18470576</v>
      </c>
      <c r="D22" s="17">
        <v>18470576</v>
      </c>
      <c r="E22" s="17">
        <f t="shared" ref="E22" si="8">E23+E26</f>
        <v>8203395.3199999994</v>
      </c>
      <c r="F22" s="18">
        <f t="shared" si="2"/>
        <v>145.49076095122777</v>
      </c>
      <c r="G22" s="18">
        <f t="shared" si="3"/>
        <v>44.413316184617088</v>
      </c>
    </row>
    <row r="23" spans="1:7" ht="25.5" x14ac:dyDescent="0.2">
      <c r="A23" s="56" t="s">
        <v>65</v>
      </c>
      <c r="B23" s="17">
        <f>SUM(B24:B25)</f>
        <v>5638430.4174132319</v>
      </c>
      <c r="C23" s="17"/>
      <c r="D23" s="17"/>
      <c r="E23" s="17">
        <f t="shared" ref="E23" si="9">SUM(E24:E25)</f>
        <v>8189997.8199999994</v>
      </c>
      <c r="F23" s="18">
        <f t="shared" si="2"/>
        <v>145.25315049923702</v>
      </c>
      <c r="G23" s="18"/>
    </row>
    <row r="24" spans="1:7" ht="13.5" customHeight="1" x14ac:dyDescent="0.2">
      <c r="A24" s="20" t="s">
        <v>40</v>
      </c>
      <c r="B24" s="21">
        <f>9255327.42/7.5345</f>
        <v>1228393.0479792953</v>
      </c>
      <c r="C24" s="21"/>
      <c r="D24" s="21"/>
      <c r="E24" s="21">
        <v>1678849.64</v>
      </c>
      <c r="F24" s="22">
        <f t="shared" si="2"/>
        <v>136.67039574684219</v>
      </c>
      <c r="G24" s="22"/>
    </row>
    <row r="25" spans="1:7" ht="13.5" customHeight="1" x14ac:dyDescent="0.2">
      <c r="A25" s="20" t="s">
        <v>41</v>
      </c>
      <c r="B25" s="21">
        <f>33227426.56/7.5345</f>
        <v>4410037.3694339367</v>
      </c>
      <c r="C25" s="21"/>
      <c r="D25" s="21"/>
      <c r="E25" s="21">
        <v>6511148.1799999997</v>
      </c>
      <c r="F25" s="22">
        <f t="shared" si="2"/>
        <v>147.64383234321113</v>
      </c>
      <c r="G25" s="22"/>
    </row>
    <row r="26" spans="1:7" ht="25.5" customHeight="1" x14ac:dyDescent="0.2">
      <c r="A26" s="56" t="s">
        <v>71</v>
      </c>
      <c r="B26" s="17">
        <f>B27</f>
        <v>0</v>
      </c>
      <c r="C26" s="17"/>
      <c r="D26" s="17"/>
      <c r="E26" s="17">
        <f t="shared" ref="E26" si="10">E27</f>
        <v>13397.5</v>
      </c>
      <c r="F26" s="18"/>
      <c r="G26" s="18"/>
    </row>
    <row r="27" spans="1:7" ht="13.5" customHeight="1" x14ac:dyDescent="0.2">
      <c r="A27" s="20" t="s">
        <v>42</v>
      </c>
      <c r="B27" s="21">
        <v>0</v>
      </c>
      <c r="C27" s="21"/>
      <c r="D27" s="21"/>
      <c r="E27" s="21">
        <v>13397.5</v>
      </c>
      <c r="F27" s="22"/>
      <c r="G27" s="22"/>
    </row>
    <row r="28" spans="1:7" ht="13.5" customHeight="1" x14ac:dyDescent="0.2">
      <c r="A28" s="19" t="s">
        <v>43</v>
      </c>
      <c r="B28" s="17">
        <f>B29+B31</f>
        <v>1181781.5648019111</v>
      </c>
      <c r="C28" s="17">
        <v>108833</v>
      </c>
      <c r="D28" s="17">
        <v>108833</v>
      </c>
      <c r="E28" s="17">
        <f t="shared" ref="E28" si="11">E29+E31</f>
        <v>64116.15</v>
      </c>
      <c r="F28" s="18">
        <f t="shared" si="2"/>
        <v>5.425380790294108</v>
      </c>
      <c r="G28" s="18">
        <f t="shared" si="3"/>
        <v>58.912416270800215</v>
      </c>
    </row>
    <row r="29" spans="1:7" ht="13.5" hidden="1" customHeight="1" x14ac:dyDescent="0.2">
      <c r="A29" s="56" t="s">
        <v>66</v>
      </c>
      <c r="B29" s="17">
        <f>B30</f>
        <v>0</v>
      </c>
      <c r="C29" s="17"/>
      <c r="D29" s="17"/>
      <c r="E29" s="17">
        <f t="shared" ref="E29" si="12">E30</f>
        <v>0</v>
      </c>
      <c r="F29" s="18"/>
      <c r="G29" s="18"/>
    </row>
    <row r="30" spans="1:7" ht="13.5" hidden="1" customHeight="1" x14ac:dyDescent="0.2">
      <c r="A30" s="20" t="s">
        <v>72</v>
      </c>
      <c r="B30" s="21">
        <v>0</v>
      </c>
      <c r="C30" s="21"/>
      <c r="D30" s="21"/>
      <c r="E30" s="21"/>
      <c r="F30" s="22"/>
      <c r="G30" s="22"/>
    </row>
    <row r="31" spans="1:7" ht="13.5" customHeight="1" x14ac:dyDescent="0.2">
      <c r="A31" s="56" t="s">
        <v>67</v>
      </c>
      <c r="B31" s="17">
        <f>B32</f>
        <v>1181781.5648019111</v>
      </c>
      <c r="C31" s="17"/>
      <c r="D31" s="17"/>
      <c r="E31" s="17">
        <f t="shared" ref="E31" si="13">E32</f>
        <v>64116.15</v>
      </c>
      <c r="F31" s="18">
        <f t="shared" si="2"/>
        <v>5.425380790294108</v>
      </c>
      <c r="G31" s="18"/>
    </row>
    <row r="32" spans="1:7" ht="13.5" customHeight="1" x14ac:dyDescent="0.2">
      <c r="A32" s="20" t="s">
        <v>44</v>
      </c>
      <c r="B32" s="21">
        <f>8904133.2/7.5345</f>
        <v>1181781.5648019111</v>
      </c>
      <c r="C32" s="21"/>
      <c r="D32" s="21"/>
      <c r="E32" s="21">
        <v>64116.15</v>
      </c>
      <c r="F32" s="22">
        <f t="shared" si="2"/>
        <v>5.425380790294108</v>
      </c>
      <c r="G32" s="22"/>
    </row>
    <row r="33" spans="1:7" ht="13.5" customHeight="1" x14ac:dyDescent="0.2">
      <c r="A33" s="55" t="s">
        <v>6</v>
      </c>
      <c r="B33" s="24">
        <f>B36</f>
        <v>7034.3088459751807</v>
      </c>
      <c r="C33" s="24">
        <f>C34</f>
        <v>0</v>
      </c>
      <c r="D33" s="24">
        <f>D34</f>
        <v>0</v>
      </c>
      <c r="E33" s="24">
        <f t="shared" ref="E33" si="14">E36</f>
        <v>0</v>
      </c>
      <c r="F33" s="25">
        <f t="shared" si="2"/>
        <v>0</v>
      </c>
      <c r="G33" s="25"/>
    </row>
    <row r="34" spans="1:7" ht="13.5" customHeight="1" x14ac:dyDescent="0.2">
      <c r="A34" s="19" t="s">
        <v>45</v>
      </c>
      <c r="B34" s="17">
        <f>B35</f>
        <v>7034.3088459751807</v>
      </c>
      <c r="C34" s="17"/>
      <c r="D34" s="17"/>
      <c r="E34" s="17">
        <f t="shared" ref="E34:E35" si="15">E35</f>
        <v>0</v>
      </c>
      <c r="F34" s="18">
        <f t="shared" si="2"/>
        <v>0</v>
      </c>
      <c r="G34" s="18"/>
    </row>
    <row r="35" spans="1:7" ht="13.5" customHeight="1" x14ac:dyDescent="0.2">
      <c r="A35" s="56" t="s">
        <v>73</v>
      </c>
      <c r="B35" s="17">
        <f>B36</f>
        <v>7034.3088459751807</v>
      </c>
      <c r="C35" s="17"/>
      <c r="D35" s="17"/>
      <c r="E35" s="17">
        <f t="shared" si="15"/>
        <v>0</v>
      </c>
      <c r="F35" s="18">
        <f t="shared" si="2"/>
        <v>0</v>
      </c>
      <c r="G35" s="18"/>
    </row>
    <row r="36" spans="1:7" ht="13.5" customHeight="1" x14ac:dyDescent="0.2">
      <c r="A36" s="20" t="s">
        <v>46</v>
      </c>
      <c r="B36" s="21">
        <f>53000/7.5345</f>
        <v>7034.3088459751807</v>
      </c>
      <c r="C36" s="21"/>
      <c r="D36" s="21"/>
      <c r="E36" s="21">
        <v>0</v>
      </c>
      <c r="F36" s="22">
        <f t="shared" si="2"/>
        <v>0</v>
      </c>
      <c r="G36" s="22"/>
    </row>
    <row r="37" spans="1:7" ht="13.5" customHeight="1" x14ac:dyDescent="0.2">
      <c r="A37" s="38"/>
      <c r="B37" s="39"/>
      <c r="C37" s="39"/>
      <c r="D37" s="39"/>
      <c r="E37" s="39"/>
      <c r="F37" s="39"/>
      <c r="G37" s="40"/>
    </row>
    <row r="38" spans="1:7" ht="13.5" customHeight="1" x14ac:dyDescent="0.2">
      <c r="A38" s="26" t="s">
        <v>74</v>
      </c>
      <c r="B38" s="27">
        <f>B39+B108</f>
        <v>12078966.788771655</v>
      </c>
      <c r="C38" s="27">
        <f t="shared" ref="C38:E38" si="16">C39+C108</f>
        <v>55010133</v>
      </c>
      <c r="D38" s="27">
        <f t="shared" si="16"/>
        <v>55010133</v>
      </c>
      <c r="E38" s="27">
        <f t="shared" si="16"/>
        <v>15266857.349999998</v>
      </c>
      <c r="F38" s="28">
        <f>E38/B38*100</f>
        <v>126.3920798606031</v>
      </c>
      <c r="G38" s="28">
        <f>E38/D38*100</f>
        <v>27.752809377864978</v>
      </c>
    </row>
    <row r="39" spans="1:7" ht="13.5" customHeight="1" x14ac:dyDescent="0.2">
      <c r="A39" s="55" t="s">
        <v>8</v>
      </c>
      <c r="B39" s="24">
        <f>B42+B43+B45+B47+B48+B51+B52+B53+B54+B56+B57+B58+B59+B60+B61+B63+B64+B65+B66+B67+B68+B69+B70+B71+B73+B75+B76+B77+B78+B79+B80+B81+B84+B85+B86+B87+B90+B93+B95+B97+B100+B103+B105+B106+B107</f>
        <v>11046510.467847904</v>
      </c>
      <c r="C39" s="24">
        <f>C40+C49+C82+C88+C91+C98+C101</f>
        <v>46494781</v>
      </c>
      <c r="D39" s="24">
        <f>D40+D49+D82+D88+D91+D98+D101</f>
        <v>46494781</v>
      </c>
      <c r="E39" s="24">
        <f>E42+E43+E45+E47+E48+E51+E52+E53+E54+E56+E57+E58+E59+E60+E61+E63+E64+E65+E66+E67+E68+E69+E70+E71+E73+E75+E76+E77+E78+E79+E80+E81+E84+E85+E86+E87+E90+E93+E95+E97+E100+E103+E105+E106+E107</f>
        <v>14174620.669999998</v>
      </c>
      <c r="F39" s="25">
        <f t="shared" ref="F39" si="17">E39/B39*100</f>
        <v>128.31763217223039</v>
      </c>
      <c r="G39" s="25">
        <f t="shared" ref="G39" si="18">E39/D39*100</f>
        <v>30.4864769015688</v>
      </c>
    </row>
    <row r="40" spans="1:7" ht="13.5" customHeight="1" x14ac:dyDescent="0.2">
      <c r="A40" s="63" t="s">
        <v>49</v>
      </c>
      <c r="B40" s="58">
        <f>B41+B44+B46</f>
        <v>6790559.3324042726</v>
      </c>
      <c r="C40" s="58">
        <v>21462630</v>
      </c>
      <c r="D40" s="58">
        <v>21462630</v>
      </c>
      <c r="E40" s="58">
        <f t="shared" ref="E40" si="19">E41+E44+E46</f>
        <v>8743199.8499999996</v>
      </c>
      <c r="F40" s="58">
        <f>E40/B40*100</f>
        <v>128.75522356866549</v>
      </c>
      <c r="G40" s="58">
        <f>E40/D40*100</f>
        <v>40.736852147197247</v>
      </c>
    </row>
    <row r="41" spans="1:7" ht="13.5" customHeight="1" x14ac:dyDescent="0.2">
      <c r="A41" s="63" t="s">
        <v>134</v>
      </c>
      <c r="B41" s="58">
        <f>B42</f>
        <v>5487122.4991704822</v>
      </c>
      <c r="C41" s="58"/>
      <c r="D41" s="58"/>
      <c r="E41" s="58">
        <f>SUM(E42:E43)</f>
        <v>6972729.5499999998</v>
      </c>
      <c r="F41" s="58">
        <f t="shared" ref="F41:F48" si="20">E41/B41*100</f>
        <v>127.07442837396295</v>
      </c>
      <c r="G41" s="58"/>
    </row>
    <row r="42" spans="1:7" s="1" customFormat="1" ht="13.5" customHeight="1" x14ac:dyDescent="0.2">
      <c r="A42" s="61" t="s">
        <v>75</v>
      </c>
      <c r="B42" s="57">
        <f>41342724.47/7.5345</f>
        <v>5487122.4991704822</v>
      </c>
      <c r="C42" s="57"/>
      <c r="D42" s="57"/>
      <c r="E42" s="57">
        <v>6701648.4299999997</v>
      </c>
      <c r="F42" s="57">
        <f t="shared" si="20"/>
        <v>122.13411366363927</v>
      </c>
      <c r="G42" s="57"/>
    </row>
    <row r="43" spans="1:7" s="1" customFormat="1" ht="13.5" customHeight="1" x14ac:dyDescent="0.2">
      <c r="A43" s="61" t="s">
        <v>174</v>
      </c>
      <c r="B43" s="57">
        <v>0</v>
      </c>
      <c r="C43" s="57"/>
      <c r="D43" s="57"/>
      <c r="E43" s="57">
        <v>271081.12</v>
      </c>
      <c r="F43" s="57"/>
      <c r="G43" s="57"/>
    </row>
    <row r="44" spans="1:7" s="62" customFormat="1" ht="13.5" customHeight="1" x14ac:dyDescent="0.2">
      <c r="A44" s="63" t="s">
        <v>135</v>
      </c>
      <c r="B44" s="58">
        <f>B45</f>
        <v>398203.74012874113</v>
      </c>
      <c r="C44" s="58"/>
      <c r="D44" s="58"/>
      <c r="E44" s="58">
        <f t="shared" ref="E44" si="21">E45</f>
        <v>662719.67000000004</v>
      </c>
      <c r="F44" s="58">
        <f t="shared" si="20"/>
        <v>166.42728412991289</v>
      </c>
      <c r="G44" s="58"/>
    </row>
    <row r="45" spans="1:7" s="1" customFormat="1" ht="13.5" customHeight="1" x14ac:dyDescent="0.2">
      <c r="A45" s="61" t="s">
        <v>76</v>
      </c>
      <c r="B45" s="57">
        <f>3000266.08/7.5345</f>
        <v>398203.74012874113</v>
      </c>
      <c r="C45" s="57"/>
      <c r="D45" s="57"/>
      <c r="E45" s="57">
        <v>662719.67000000004</v>
      </c>
      <c r="F45" s="57">
        <f t="shared" si="20"/>
        <v>166.42728412991289</v>
      </c>
      <c r="G45" s="57"/>
    </row>
    <row r="46" spans="1:7" s="62" customFormat="1" ht="13.5" customHeight="1" x14ac:dyDescent="0.2">
      <c r="A46" s="63" t="s">
        <v>136</v>
      </c>
      <c r="B46" s="58">
        <f>SUM(B47:B48)</f>
        <v>905233.09310505004</v>
      </c>
      <c r="C46" s="58"/>
      <c r="D46" s="58"/>
      <c r="E46" s="58">
        <f t="shared" ref="E46" si="22">SUM(E47:E48)</f>
        <v>1107750.6300000001</v>
      </c>
      <c r="F46" s="58">
        <f t="shared" si="20"/>
        <v>122.37186625604821</v>
      </c>
      <c r="G46" s="58"/>
    </row>
    <row r="47" spans="1:7" s="1" customFormat="1" ht="13.5" customHeight="1" x14ac:dyDescent="0.2">
      <c r="A47" s="61" t="s">
        <v>77</v>
      </c>
      <c r="B47" s="57">
        <f>46517.58/7.5345</f>
        <v>6173.9438582520406</v>
      </c>
      <c r="C47" s="57"/>
      <c r="D47" s="57"/>
      <c r="E47" s="57">
        <v>7584.3</v>
      </c>
      <c r="F47" s="57">
        <f t="shared" si="20"/>
        <v>122.84368264643173</v>
      </c>
      <c r="G47" s="57"/>
    </row>
    <row r="48" spans="1:7" s="1" customFormat="1" ht="13.5" customHeight="1" x14ac:dyDescent="0.2">
      <c r="A48" s="61" t="s">
        <v>78</v>
      </c>
      <c r="B48" s="57">
        <f>6773961.16/7.5345</f>
        <v>899059.14924679801</v>
      </c>
      <c r="C48" s="57"/>
      <c r="D48" s="57"/>
      <c r="E48" s="57">
        <v>1100166.33</v>
      </c>
      <c r="F48" s="57">
        <f t="shared" si="20"/>
        <v>122.36862623796031</v>
      </c>
      <c r="G48" s="57"/>
    </row>
    <row r="49" spans="1:7" s="1" customFormat="1" ht="13.5" customHeight="1" x14ac:dyDescent="0.2">
      <c r="A49" s="63" t="s">
        <v>50</v>
      </c>
      <c r="B49" s="58">
        <f>B50+B55+B62+B72+B74</f>
        <v>4027865.302276196</v>
      </c>
      <c r="C49" s="58">
        <v>19146818</v>
      </c>
      <c r="D49" s="58">
        <v>19146818</v>
      </c>
      <c r="E49" s="58">
        <f t="shared" ref="E49" si="23">E50+E55+E62+E72+E74</f>
        <v>5318679.459999999</v>
      </c>
      <c r="F49" s="58">
        <f>E49/B49*100</f>
        <v>132.04710338735379</v>
      </c>
      <c r="G49" s="58">
        <f>E49/D49*100</f>
        <v>27.778398791903697</v>
      </c>
    </row>
    <row r="50" spans="1:7" s="1" customFormat="1" ht="13.5" customHeight="1" x14ac:dyDescent="0.2">
      <c r="A50" s="63" t="s">
        <v>137</v>
      </c>
      <c r="B50" s="58">
        <f>SUM(B51:B54)</f>
        <v>139048.84332072467</v>
      </c>
      <c r="C50" s="58"/>
      <c r="D50" s="58"/>
      <c r="E50" s="58">
        <f t="shared" ref="E50" si="24">SUM(E51:E54)</f>
        <v>229752.86000000002</v>
      </c>
      <c r="F50" s="58">
        <f t="shared" ref="F50:F112" si="25">E50/B50*100</f>
        <v>165.23176641610817</v>
      </c>
      <c r="G50" s="58"/>
    </row>
    <row r="51" spans="1:7" s="1" customFormat="1" ht="13.5" customHeight="1" x14ac:dyDescent="0.2">
      <c r="A51" s="61" t="s">
        <v>79</v>
      </c>
      <c r="B51" s="57">
        <f>60408.36/7.5345</f>
        <v>8017.5671909217599</v>
      </c>
      <c r="C51" s="57"/>
      <c r="D51" s="57"/>
      <c r="E51" s="57">
        <v>50463.199999999997</v>
      </c>
      <c r="F51" s="57">
        <f t="shared" si="25"/>
        <v>629.40788394189144</v>
      </c>
      <c r="G51" s="57"/>
    </row>
    <row r="52" spans="1:7" s="1" customFormat="1" ht="13.5" customHeight="1" x14ac:dyDescent="0.2">
      <c r="A52" s="64" t="s">
        <v>80</v>
      </c>
      <c r="B52" s="57">
        <f>714829.14/7.5345</f>
        <v>94874.130997411907</v>
      </c>
      <c r="C52" s="57"/>
      <c r="D52" s="57"/>
      <c r="E52" s="57">
        <v>106092.5</v>
      </c>
      <c r="F52" s="57">
        <f t="shared" si="25"/>
        <v>111.82447616083473</v>
      </c>
      <c r="G52" s="57"/>
    </row>
    <row r="53" spans="1:7" s="1" customFormat="1" ht="13.5" customHeight="1" x14ac:dyDescent="0.2">
      <c r="A53" s="61" t="s">
        <v>81</v>
      </c>
      <c r="B53" s="57">
        <f>272426.01/7.5345</f>
        <v>36157.145132391001</v>
      </c>
      <c r="C53" s="57"/>
      <c r="D53" s="57"/>
      <c r="E53" s="57">
        <v>73197.16</v>
      </c>
      <c r="F53" s="57">
        <f t="shared" si="25"/>
        <v>202.44175731238002</v>
      </c>
      <c r="G53" s="57"/>
    </row>
    <row r="54" spans="1:7" s="1" customFormat="1" ht="13.5" hidden="1" customHeight="1" x14ac:dyDescent="0.2">
      <c r="A54" s="61" t="s">
        <v>82</v>
      </c>
      <c r="B54" s="59"/>
      <c r="C54" s="57"/>
      <c r="D54" s="57"/>
      <c r="E54" s="59"/>
      <c r="F54" s="57"/>
      <c r="G54" s="57"/>
    </row>
    <row r="55" spans="1:7" s="62" customFormat="1" ht="13.5" customHeight="1" x14ac:dyDescent="0.2">
      <c r="A55" s="63" t="s">
        <v>138</v>
      </c>
      <c r="B55" s="58">
        <f>SUM(B56:B61)</f>
        <v>2167756.6580396844</v>
      </c>
      <c r="C55" s="58"/>
      <c r="D55" s="58"/>
      <c r="E55" s="58">
        <f t="shared" ref="E55" si="26">SUM(E56:E61)</f>
        <v>2862937.9699999997</v>
      </c>
      <c r="F55" s="58">
        <f t="shared" si="25"/>
        <v>132.06915819550392</v>
      </c>
      <c r="G55" s="58"/>
    </row>
    <row r="56" spans="1:7" s="1" customFormat="1" ht="13.5" customHeight="1" x14ac:dyDescent="0.2">
      <c r="A56" s="61" t="s">
        <v>83</v>
      </c>
      <c r="B56" s="57">
        <f>1740652.36/7.5345</f>
        <v>231024.26969274669</v>
      </c>
      <c r="C56" s="57"/>
      <c r="D56" s="57"/>
      <c r="E56" s="57">
        <v>440415.55</v>
      </c>
      <c r="F56" s="57">
        <f t="shared" si="25"/>
        <v>190.63605334008221</v>
      </c>
      <c r="G56" s="57"/>
    </row>
    <row r="57" spans="1:7" s="1" customFormat="1" ht="13.5" customHeight="1" x14ac:dyDescent="0.2">
      <c r="A57" s="61" t="s">
        <v>84</v>
      </c>
      <c r="B57" s="57">
        <f>6834097.97/7.5345</f>
        <v>907040.67555909476</v>
      </c>
      <c r="C57" s="57"/>
      <c r="D57" s="57"/>
      <c r="E57" s="57">
        <v>1422945.22</v>
      </c>
      <c r="F57" s="57">
        <f t="shared" si="25"/>
        <v>156.87777387964488</v>
      </c>
      <c r="G57" s="57"/>
    </row>
    <row r="58" spans="1:7" s="1" customFormat="1" ht="13.5" customHeight="1" x14ac:dyDescent="0.2">
      <c r="A58" s="61" t="s">
        <v>85</v>
      </c>
      <c r="B58" s="57">
        <f>7378403.83/7.5345</f>
        <v>979282.47793483303</v>
      </c>
      <c r="C58" s="57"/>
      <c r="D58" s="57"/>
      <c r="E58" s="57">
        <v>871043.71</v>
      </c>
      <c r="F58" s="57">
        <f t="shared" si="25"/>
        <v>88.947135236903947</v>
      </c>
      <c r="G58" s="57"/>
    </row>
    <row r="59" spans="1:7" s="1" customFormat="1" ht="13.5" customHeight="1" x14ac:dyDescent="0.2">
      <c r="A59" s="64" t="s">
        <v>86</v>
      </c>
      <c r="B59" s="57">
        <v>0</v>
      </c>
      <c r="C59" s="57"/>
      <c r="D59" s="57"/>
      <c r="E59" s="57">
        <v>1147.04</v>
      </c>
      <c r="F59" s="57"/>
      <c r="G59" s="57"/>
    </row>
    <row r="60" spans="1:7" s="1" customFormat="1" ht="13.5" customHeight="1" x14ac:dyDescent="0.2">
      <c r="A60" s="61" t="s">
        <v>87</v>
      </c>
      <c r="B60" s="57">
        <f>224440.22/7.5345</f>
        <v>29788.336319596521</v>
      </c>
      <c r="C60" s="57"/>
      <c r="D60" s="57"/>
      <c r="E60" s="57">
        <v>126939.76</v>
      </c>
      <c r="F60" s="57">
        <f t="shared" si="25"/>
        <v>426.13913928617603</v>
      </c>
      <c r="G60" s="57"/>
    </row>
    <row r="61" spans="1:7" s="1" customFormat="1" ht="13.5" customHeight="1" x14ac:dyDescent="0.2">
      <c r="A61" s="61" t="s">
        <v>88</v>
      </c>
      <c r="B61" s="57">
        <f>155368.16/7.5345</f>
        <v>20620.898533412965</v>
      </c>
      <c r="C61" s="57"/>
      <c r="D61" s="57"/>
      <c r="E61" s="57">
        <v>446.69</v>
      </c>
      <c r="F61" s="57">
        <f t="shared" si="25"/>
        <v>2.1662004653978011</v>
      </c>
      <c r="G61" s="57"/>
    </row>
    <row r="62" spans="1:7" s="62" customFormat="1" ht="13.5" customHeight="1" x14ac:dyDescent="0.2">
      <c r="A62" s="63" t="s">
        <v>139</v>
      </c>
      <c r="B62" s="58">
        <f>SUM(B63:B71)</f>
        <v>1094570.2700909148</v>
      </c>
      <c r="C62" s="58"/>
      <c r="D62" s="58"/>
      <c r="E62" s="58">
        <f t="shared" ref="E62" si="27">SUM(E63:E71)</f>
        <v>1362791.94</v>
      </c>
      <c r="F62" s="58">
        <f t="shared" si="25"/>
        <v>124.50474649624886</v>
      </c>
      <c r="G62" s="58"/>
    </row>
    <row r="63" spans="1:7" s="1" customFormat="1" ht="13.5" customHeight="1" x14ac:dyDescent="0.2">
      <c r="A63" s="61" t="s">
        <v>89</v>
      </c>
      <c r="B63" s="57">
        <f>423423.67/7.5345</f>
        <v>56197.978631627841</v>
      </c>
      <c r="C63" s="57"/>
      <c r="D63" s="57"/>
      <c r="E63" s="57">
        <v>63137.46</v>
      </c>
      <c r="F63" s="57">
        <f t="shared" si="25"/>
        <v>112.34827575180198</v>
      </c>
      <c r="G63" s="57"/>
    </row>
    <row r="64" spans="1:7" s="1" customFormat="1" ht="13.5" customHeight="1" x14ac:dyDescent="0.2">
      <c r="A64" s="61" t="s">
        <v>90</v>
      </c>
      <c r="B64" s="57">
        <f>1965333.65/7.5345</f>
        <v>260844.60149976771</v>
      </c>
      <c r="C64" s="57"/>
      <c r="D64" s="57"/>
      <c r="E64" s="57">
        <v>238718.03</v>
      </c>
      <c r="F64" s="57">
        <f t="shared" si="25"/>
        <v>91.517335849564276</v>
      </c>
      <c r="G64" s="57"/>
    </row>
    <row r="65" spans="1:7" s="1" customFormat="1" ht="13.5" customHeight="1" x14ac:dyDescent="0.2">
      <c r="A65" s="61" t="s">
        <v>91</v>
      </c>
      <c r="B65" s="57">
        <f>391645.02/7.5345</f>
        <v>51980.226956002385</v>
      </c>
      <c r="C65" s="57"/>
      <c r="D65" s="57"/>
      <c r="E65" s="57">
        <v>81326.11</v>
      </c>
      <c r="F65" s="57">
        <f t="shared" si="25"/>
        <v>156.45585785694405</v>
      </c>
      <c r="G65" s="57"/>
    </row>
    <row r="66" spans="1:7" s="1" customFormat="1" ht="13.5" customHeight="1" x14ac:dyDescent="0.2">
      <c r="A66" s="61" t="s">
        <v>92</v>
      </c>
      <c r="B66" s="57">
        <f>1549737.41/7.5345</f>
        <v>205685.50136040876</v>
      </c>
      <c r="C66" s="57"/>
      <c r="D66" s="57"/>
      <c r="E66" s="57">
        <v>163707</v>
      </c>
      <c r="F66" s="57">
        <f t="shared" si="25"/>
        <v>79.590928343144284</v>
      </c>
      <c r="G66" s="57"/>
    </row>
    <row r="67" spans="1:7" s="1" customFormat="1" ht="13.5" customHeight="1" x14ac:dyDescent="0.2">
      <c r="A67" s="61" t="s">
        <v>93</v>
      </c>
      <c r="B67" s="57">
        <f>146963.4/7.5345</f>
        <v>19505.395182162054</v>
      </c>
      <c r="C67" s="57"/>
      <c r="D67" s="57"/>
      <c r="E67" s="57">
        <v>19639.03</v>
      </c>
      <c r="F67" s="57">
        <f t="shared" si="25"/>
        <v>100.68511720265046</v>
      </c>
      <c r="G67" s="57"/>
    </row>
    <row r="68" spans="1:7" s="1" customFormat="1" ht="13.5" customHeight="1" x14ac:dyDescent="0.2">
      <c r="A68" s="61" t="s">
        <v>94</v>
      </c>
      <c r="B68" s="57">
        <f>148595.31/7.5345</f>
        <v>19721.986860441964</v>
      </c>
      <c r="C68" s="57"/>
      <c r="D68" s="57"/>
      <c r="E68" s="57">
        <v>35375.99</v>
      </c>
      <c r="F68" s="57">
        <f t="shared" si="25"/>
        <v>179.3733575137735</v>
      </c>
      <c r="G68" s="57"/>
    </row>
    <row r="69" spans="1:7" s="1" customFormat="1" ht="13.5" customHeight="1" x14ac:dyDescent="0.2">
      <c r="A69" s="61" t="s">
        <v>95</v>
      </c>
      <c r="B69" s="57">
        <f>2495118.55/7.5345</f>
        <v>331159.14128342952</v>
      </c>
      <c r="C69" s="57"/>
      <c r="D69" s="57"/>
      <c r="E69" s="57">
        <v>545209.16</v>
      </c>
      <c r="F69" s="57">
        <f t="shared" si="25"/>
        <v>164.63660277865358</v>
      </c>
      <c r="G69" s="57"/>
    </row>
    <row r="70" spans="1:7" s="1" customFormat="1" ht="13.5" customHeight="1" x14ac:dyDescent="0.2">
      <c r="A70" s="61" t="s">
        <v>96</v>
      </c>
      <c r="B70" s="57">
        <f>325229.3/7.5345</f>
        <v>43165.34607472294</v>
      </c>
      <c r="C70" s="57"/>
      <c r="D70" s="57"/>
      <c r="E70" s="57">
        <v>54551.24</v>
      </c>
      <c r="F70" s="57">
        <f t="shared" si="25"/>
        <v>126.37739520393765</v>
      </c>
      <c r="G70" s="57"/>
    </row>
    <row r="71" spans="1:7" s="1" customFormat="1" ht="13.5" customHeight="1" x14ac:dyDescent="0.2">
      <c r="A71" s="61" t="s">
        <v>97</v>
      </c>
      <c r="B71" s="57">
        <f>800993.39/7.5345</f>
        <v>106310.09224235185</v>
      </c>
      <c r="C71" s="57"/>
      <c r="D71" s="57"/>
      <c r="E71" s="57">
        <v>161127.92000000001</v>
      </c>
      <c r="F71" s="57">
        <f t="shared" si="25"/>
        <v>151.56408634533179</v>
      </c>
      <c r="G71" s="57"/>
    </row>
    <row r="72" spans="1:7" s="62" customFormat="1" ht="13.5" hidden="1" customHeight="1" x14ac:dyDescent="0.2">
      <c r="A72" s="63" t="s">
        <v>140</v>
      </c>
      <c r="B72" s="58">
        <f t="shared" ref="B72" si="28">B73</f>
        <v>0</v>
      </c>
      <c r="C72" s="58"/>
      <c r="D72" s="58"/>
      <c r="E72" s="58">
        <f t="shared" ref="E72" si="29">E73</f>
        <v>0</v>
      </c>
      <c r="F72" s="58"/>
      <c r="G72" s="58"/>
    </row>
    <row r="73" spans="1:7" s="1" customFormat="1" ht="13.5" hidden="1" customHeight="1" x14ac:dyDescent="0.2">
      <c r="A73" s="61" t="s">
        <v>98</v>
      </c>
      <c r="B73" s="59"/>
      <c r="C73" s="59"/>
      <c r="D73" s="59"/>
      <c r="E73" s="59"/>
      <c r="F73" s="57"/>
      <c r="G73" s="57"/>
    </row>
    <row r="74" spans="1:7" s="62" customFormat="1" ht="13.5" customHeight="1" x14ac:dyDescent="0.2">
      <c r="A74" s="63" t="s">
        <v>141</v>
      </c>
      <c r="B74" s="58">
        <f>SUM(B75:B81)</f>
        <v>626489.5308248722</v>
      </c>
      <c r="C74" s="58"/>
      <c r="D74" s="58"/>
      <c r="E74" s="58">
        <f t="shared" ref="E74" si="30">SUM(E75:E81)</f>
        <v>863196.69</v>
      </c>
      <c r="F74" s="58">
        <f t="shared" si="25"/>
        <v>137.78309892321192</v>
      </c>
      <c r="G74" s="58"/>
    </row>
    <row r="75" spans="1:7" s="1" customFormat="1" ht="25.5" x14ac:dyDescent="0.2">
      <c r="A75" s="61" t="s">
        <v>99</v>
      </c>
      <c r="B75" s="57">
        <f>41548.15/7.5345</f>
        <v>5514.3871524321457</v>
      </c>
      <c r="C75" s="57"/>
      <c r="D75" s="57"/>
      <c r="E75" s="57">
        <v>6190.39</v>
      </c>
      <c r="F75" s="57">
        <f t="shared" si="25"/>
        <v>112.25889348863909</v>
      </c>
      <c r="G75" s="57"/>
    </row>
    <row r="76" spans="1:7" s="1" customFormat="1" ht="13.5" customHeight="1" x14ac:dyDescent="0.2">
      <c r="A76" s="61" t="s">
        <v>100</v>
      </c>
      <c r="B76" s="57">
        <f>266344.97/7.5345</f>
        <v>35350.052425509319</v>
      </c>
      <c r="C76" s="57"/>
      <c r="D76" s="57"/>
      <c r="E76" s="57">
        <v>37644.6</v>
      </c>
      <c r="F76" s="57">
        <f t="shared" si="25"/>
        <v>106.4909311784638</v>
      </c>
      <c r="G76" s="57"/>
    </row>
    <row r="77" spans="1:7" s="1" customFormat="1" ht="13.5" customHeight="1" x14ac:dyDescent="0.2">
      <c r="A77" s="61" t="s">
        <v>101</v>
      </c>
      <c r="B77" s="57">
        <f>12719.02/7.5345</f>
        <v>1688.1040546817969</v>
      </c>
      <c r="C77" s="57"/>
      <c r="D77" s="57"/>
      <c r="E77" s="57">
        <v>1102.57</v>
      </c>
      <c r="F77" s="57">
        <f t="shared" si="25"/>
        <v>65.314101754694946</v>
      </c>
      <c r="G77" s="57"/>
    </row>
    <row r="78" spans="1:7" s="1" customFormat="1" ht="13.5" customHeight="1" x14ac:dyDescent="0.2">
      <c r="A78" s="61" t="s">
        <v>142</v>
      </c>
      <c r="B78" s="57">
        <f>21258.47/7.5345</f>
        <v>2821.4838409980757</v>
      </c>
      <c r="C78" s="57"/>
      <c r="D78" s="57"/>
      <c r="E78" s="57">
        <v>5387.62</v>
      </c>
      <c r="F78" s="57">
        <f t="shared" si="25"/>
        <v>190.94987969501096</v>
      </c>
      <c r="G78" s="57"/>
    </row>
    <row r="79" spans="1:7" s="1" customFormat="1" ht="13.5" customHeight="1" x14ac:dyDescent="0.2">
      <c r="A79" s="61" t="s">
        <v>102</v>
      </c>
      <c r="B79" s="57">
        <f>2884897.38/7.5345</f>
        <v>382891.68226159661</v>
      </c>
      <c r="C79" s="57"/>
      <c r="D79" s="57"/>
      <c r="E79" s="57">
        <v>425531.24</v>
      </c>
      <c r="F79" s="57">
        <f t="shared" si="25"/>
        <v>111.13619326660418</v>
      </c>
      <c r="G79" s="57"/>
    </row>
    <row r="80" spans="1:7" s="1" customFormat="1" ht="13.5" customHeight="1" x14ac:dyDescent="0.2">
      <c r="A80" s="61" t="s">
        <v>103</v>
      </c>
      <c r="B80" s="57">
        <f>10000/7.5345</f>
        <v>1327.2280841462605</v>
      </c>
      <c r="C80" s="57"/>
      <c r="D80" s="57"/>
      <c r="E80" s="57">
        <v>7.7</v>
      </c>
      <c r="F80" s="57">
        <f t="shared" si="25"/>
        <v>0.58015650000000007</v>
      </c>
      <c r="G80" s="57"/>
    </row>
    <row r="81" spans="1:7" s="1" customFormat="1" ht="13.5" customHeight="1" x14ac:dyDescent="0.2">
      <c r="A81" s="61" t="s">
        <v>104</v>
      </c>
      <c r="B81" s="57">
        <f>1483517.38/7.5345</f>
        <v>196896.59300550798</v>
      </c>
      <c r="C81" s="57"/>
      <c r="D81" s="57"/>
      <c r="E81" s="57">
        <v>387332.57</v>
      </c>
      <c r="F81" s="57">
        <f t="shared" si="25"/>
        <v>196.7187771446938</v>
      </c>
      <c r="G81" s="57"/>
    </row>
    <row r="82" spans="1:7" s="1" customFormat="1" ht="13.5" customHeight="1" x14ac:dyDescent="0.2">
      <c r="A82" s="63" t="s">
        <v>51</v>
      </c>
      <c r="B82" s="58">
        <f t="shared" ref="B82" si="31">B83</f>
        <v>75653.92793151502</v>
      </c>
      <c r="C82" s="58">
        <v>18183</v>
      </c>
      <c r="D82" s="58">
        <v>18183</v>
      </c>
      <c r="E82" s="58">
        <f t="shared" ref="E82" si="32">E83</f>
        <v>17639.18</v>
      </c>
      <c r="F82" s="58">
        <f t="shared" si="25"/>
        <v>23.315616891653924</v>
      </c>
      <c r="G82" s="58">
        <f>E82/D82*100</f>
        <v>97.009184403013805</v>
      </c>
    </row>
    <row r="83" spans="1:7" s="1" customFormat="1" ht="13.5" customHeight="1" x14ac:dyDescent="0.2">
      <c r="A83" s="63" t="s">
        <v>143</v>
      </c>
      <c r="B83" s="58">
        <f>SUM(B84:B87)</f>
        <v>75653.92793151502</v>
      </c>
      <c r="C83" s="58"/>
      <c r="D83" s="58"/>
      <c r="E83" s="58">
        <f t="shared" ref="E83" si="33">SUM(E84:E87)</f>
        <v>17639.18</v>
      </c>
      <c r="F83" s="58">
        <f t="shared" si="25"/>
        <v>23.315616891653924</v>
      </c>
      <c r="G83" s="58"/>
    </row>
    <row r="84" spans="1:7" s="1" customFormat="1" ht="13.5" customHeight="1" x14ac:dyDescent="0.2">
      <c r="A84" s="61" t="s">
        <v>105</v>
      </c>
      <c r="B84" s="57">
        <f>557698.59/7.5345</f>
        <v>74019.323113677077</v>
      </c>
      <c r="C84" s="57"/>
      <c r="D84" s="57"/>
      <c r="E84" s="57">
        <v>16053.5</v>
      </c>
      <c r="F84" s="57">
        <f t="shared" si="25"/>
        <v>21.688255613126081</v>
      </c>
      <c r="G84" s="57"/>
    </row>
    <row r="85" spans="1:7" s="1" customFormat="1" ht="25.5" x14ac:dyDescent="0.2">
      <c r="A85" s="61" t="s">
        <v>106</v>
      </c>
      <c r="B85" s="57">
        <f>11233.5/7.5345</f>
        <v>1490.9416683257016</v>
      </c>
      <c r="C85" s="57"/>
      <c r="D85" s="57"/>
      <c r="E85" s="57">
        <v>1030.1600000000001</v>
      </c>
      <c r="F85" s="57">
        <f t="shared" si="25"/>
        <v>69.094587795433313</v>
      </c>
      <c r="G85" s="57"/>
    </row>
    <row r="86" spans="1:7" s="1" customFormat="1" ht="13.5" customHeight="1" x14ac:dyDescent="0.2">
      <c r="A86" s="61" t="s">
        <v>107</v>
      </c>
      <c r="B86" s="57">
        <f>1082.43/7.5345</f>
        <v>143.66314951224368</v>
      </c>
      <c r="C86" s="57"/>
      <c r="D86" s="57"/>
      <c r="E86" s="57">
        <v>555.52</v>
      </c>
      <c r="F86" s="57">
        <f t="shared" si="25"/>
        <v>386.68232033480223</v>
      </c>
      <c r="G86" s="57"/>
    </row>
    <row r="87" spans="1:7" s="1" customFormat="1" ht="13.5" hidden="1" customHeight="1" x14ac:dyDescent="0.2">
      <c r="A87" s="61" t="s">
        <v>108</v>
      </c>
      <c r="B87" s="59"/>
      <c r="C87" s="57"/>
      <c r="D87" s="57"/>
      <c r="E87" s="59"/>
      <c r="F87" s="57"/>
      <c r="G87" s="57"/>
    </row>
    <row r="88" spans="1:7" s="1" customFormat="1" ht="13.5" customHeight="1" x14ac:dyDescent="0.2">
      <c r="A88" s="63" t="s">
        <v>52</v>
      </c>
      <c r="B88" s="58">
        <f t="shared" ref="B88:B89" si="34">B89</f>
        <v>16426.836551861437</v>
      </c>
      <c r="C88" s="58">
        <v>60840</v>
      </c>
      <c r="D88" s="58">
        <v>60840</v>
      </c>
      <c r="E88" s="58">
        <f t="shared" ref="E88:E89" si="35">E89</f>
        <v>30420.06</v>
      </c>
      <c r="F88" s="58">
        <f t="shared" si="25"/>
        <v>185.18513837987203</v>
      </c>
      <c r="G88" s="58">
        <f>E88/D88*100</f>
        <v>50.000098619329393</v>
      </c>
    </row>
    <row r="89" spans="1:7" s="1" customFormat="1" ht="13.5" customHeight="1" x14ac:dyDescent="0.2">
      <c r="A89" s="63" t="s">
        <v>144</v>
      </c>
      <c r="B89" s="58">
        <f t="shared" si="34"/>
        <v>16426.836551861437</v>
      </c>
      <c r="C89" s="58"/>
      <c r="D89" s="58"/>
      <c r="E89" s="58">
        <f t="shared" si="35"/>
        <v>30420.06</v>
      </c>
      <c r="F89" s="58">
        <f t="shared" si="25"/>
        <v>185.18513837987203</v>
      </c>
      <c r="G89" s="58"/>
    </row>
    <row r="90" spans="1:7" s="1" customFormat="1" ht="13.5" customHeight="1" x14ac:dyDescent="0.2">
      <c r="A90" s="61" t="s">
        <v>145</v>
      </c>
      <c r="B90" s="57">
        <f>123768/7.5345</f>
        <v>16426.836551861437</v>
      </c>
      <c r="C90" s="57"/>
      <c r="D90" s="57"/>
      <c r="E90" s="57">
        <v>30420.06</v>
      </c>
      <c r="F90" s="57">
        <f t="shared" si="25"/>
        <v>185.18513837987203</v>
      </c>
      <c r="G90" s="57"/>
    </row>
    <row r="91" spans="1:7" s="1" customFormat="1" ht="13.5" customHeight="1" x14ac:dyDescent="0.2">
      <c r="A91" s="65" t="s">
        <v>53</v>
      </c>
      <c r="B91" s="58">
        <f>B92+B94+B96</f>
        <v>22511.027938151168</v>
      </c>
      <c r="C91" s="58">
        <v>2514314</v>
      </c>
      <c r="D91" s="58">
        <v>2514314</v>
      </c>
      <c r="E91" s="58">
        <f t="shared" ref="E91" si="36">E92+E94+E96</f>
        <v>9452.4500000000007</v>
      </c>
      <c r="F91" s="58">
        <f t="shared" si="25"/>
        <v>41.990308154609892</v>
      </c>
      <c r="G91" s="58">
        <f>E91/D91*100</f>
        <v>0.37594548652236753</v>
      </c>
    </row>
    <row r="92" spans="1:7" s="1" customFormat="1" ht="13.5" hidden="1" customHeight="1" x14ac:dyDescent="0.2">
      <c r="A92" s="65" t="s">
        <v>146</v>
      </c>
      <c r="B92" s="58">
        <f>B93</f>
        <v>0</v>
      </c>
      <c r="C92" s="58"/>
      <c r="D92" s="58"/>
      <c r="E92" s="58">
        <f t="shared" ref="E92" si="37">E93</f>
        <v>0</v>
      </c>
      <c r="F92" s="58"/>
      <c r="G92" s="58"/>
    </row>
    <row r="93" spans="1:7" s="1" customFormat="1" ht="13.5" hidden="1" customHeight="1" x14ac:dyDescent="0.2">
      <c r="A93" s="61" t="s">
        <v>109</v>
      </c>
      <c r="B93" s="59"/>
      <c r="C93" s="59"/>
      <c r="D93" s="59"/>
      <c r="E93" s="59"/>
      <c r="F93" s="57"/>
      <c r="G93" s="57"/>
    </row>
    <row r="94" spans="1:7" s="62" customFormat="1" ht="13.5" customHeight="1" x14ac:dyDescent="0.2">
      <c r="A94" s="63" t="s">
        <v>147</v>
      </c>
      <c r="B94" s="58">
        <f>B95</f>
        <v>1592.6737009755125</v>
      </c>
      <c r="C94" s="58"/>
      <c r="D94" s="58"/>
      <c r="E94" s="58">
        <f t="shared" ref="E94" si="38">E95</f>
        <v>5475</v>
      </c>
      <c r="F94" s="58">
        <f t="shared" si="25"/>
        <v>343.76156250000003</v>
      </c>
      <c r="G94" s="58"/>
    </row>
    <row r="95" spans="1:7" s="1" customFormat="1" ht="12.75" x14ac:dyDescent="0.2">
      <c r="A95" s="64" t="s">
        <v>110</v>
      </c>
      <c r="B95" s="57">
        <f>12000/7.5345</f>
        <v>1592.6737009755125</v>
      </c>
      <c r="C95" s="59"/>
      <c r="D95" s="59"/>
      <c r="E95" s="57">
        <v>5475</v>
      </c>
      <c r="F95" s="57">
        <f t="shared" si="25"/>
        <v>343.76156250000003</v>
      </c>
      <c r="G95" s="57"/>
    </row>
    <row r="96" spans="1:7" s="62" customFormat="1" ht="12.75" x14ac:dyDescent="0.2">
      <c r="A96" s="65" t="s">
        <v>148</v>
      </c>
      <c r="B96" s="58">
        <f>B97</f>
        <v>20918.354237175656</v>
      </c>
      <c r="C96" s="58"/>
      <c r="D96" s="58"/>
      <c r="E96" s="58">
        <f t="shared" ref="E96" si="39">E97</f>
        <v>3977.45</v>
      </c>
      <c r="F96" s="58">
        <f t="shared" si="25"/>
        <v>19.0141631358903</v>
      </c>
      <c r="G96" s="58"/>
    </row>
    <row r="97" spans="1:7" s="1" customFormat="1" ht="12.75" x14ac:dyDescent="0.2">
      <c r="A97" s="64" t="s">
        <v>111</v>
      </c>
      <c r="B97" s="57">
        <f>157609.34/7.5345</f>
        <v>20918.354237175656</v>
      </c>
      <c r="C97" s="57"/>
      <c r="D97" s="57"/>
      <c r="E97" s="57">
        <v>3977.45</v>
      </c>
      <c r="F97" s="57">
        <f t="shared" si="25"/>
        <v>19.0141631358903</v>
      </c>
      <c r="G97" s="57"/>
    </row>
    <row r="98" spans="1:7" s="1" customFormat="1" ht="25.5" x14ac:dyDescent="0.2">
      <c r="A98" s="63" t="s">
        <v>54</v>
      </c>
      <c r="B98" s="58">
        <f>B99</f>
        <v>27884.531156679273</v>
      </c>
      <c r="C98" s="58">
        <v>84545</v>
      </c>
      <c r="D98" s="58">
        <v>84545</v>
      </c>
      <c r="E98" s="58">
        <f t="shared" ref="E98:E99" si="40">E99</f>
        <v>12984.45</v>
      </c>
      <c r="F98" s="58">
        <f t="shared" si="25"/>
        <v>46.565064791809462</v>
      </c>
      <c r="G98" s="58">
        <f>E98/D98*100</f>
        <v>15.35803418297948</v>
      </c>
    </row>
    <row r="99" spans="1:7" s="1" customFormat="1" ht="12.75" x14ac:dyDescent="0.2">
      <c r="A99" s="65" t="s">
        <v>149</v>
      </c>
      <c r="B99" s="58">
        <f>B100</f>
        <v>27884.531156679273</v>
      </c>
      <c r="C99" s="58"/>
      <c r="D99" s="58"/>
      <c r="E99" s="58">
        <f t="shared" si="40"/>
        <v>12984.45</v>
      </c>
      <c r="F99" s="58">
        <f t="shared" si="25"/>
        <v>46.565064791809462</v>
      </c>
      <c r="G99" s="58"/>
    </row>
    <row r="100" spans="1:7" s="1" customFormat="1" ht="13.5" customHeight="1" x14ac:dyDescent="0.2">
      <c r="A100" s="61" t="s">
        <v>112</v>
      </c>
      <c r="B100" s="57">
        <f>210096/7.5345</f>
        <v>27884.531156679273</v>
      </c>
      <c r="C100" s="57"/>
      <c r="D100" s="57"/>
      <c r="E100" s="57">
        <v>12984.45</v>
      </c>
      <c r="F100" s="57">
        <f t="shared" si="25"/>
        <v>46.565064791809462</v>
      </c>
      <c r="G100" s="57"/>
    </row>
    <row r="101" spans="1:7" s="1" customFormat="1" ht="13.5" customHeight="1" x14ac:dyDescent="0.2">
      <c r="A101" s="63" t="s">
        <v>55</v>
      </c>
      <c r="B101" s="58">
        <f>B102+B104</f>
        <v>85609.5095892229</v>
      </c>
      <c r="C101" s="58">
        <v>3207451</v>
      </c>
      <c r="D101" s="58">
        <v>3207451</v>
      </c>
      <c r="E101" s="58">
        <f t="shared" ref="E101" si="41">E102+E104</f>
        <v>42245.22</v>
      </c>
      <c r="F101" s="58">
        <f t="shared" si="25"/>
        <v>49.346410466201426</v>
      </c>
      <c r="G101" s="58">
        <f>E101/D101*100</f>
        <v>1.3170963484711069</v>
      </c>
    </row>
    <row r="102" spans="1:7" s="1" customFormat="1" ht="13.5" customHeight="1" x14ac:dyDescent="0.2">
      <c r="A102" s="63" t="s">
        <v>150</v>
      </c>
      <c r="B102" s="58">
        <f>B103</f>
        <v>85393.835025549139</v>
      </c>
      <c r="C102" s="58"/>
      <c r="D102" s="58"/>
      <c r="E102" s="58">
        <f t="shared" ref="E102" si="42">E103</f>
        <v>32600</v>
      </c>
      <c r="F102" s="58">
        <f t="shared" si="25"/>
        <v>38.176058014312567</v>
      </c>
      <c r="G102" s="58"/>
    </row>
    <row r="103" spans="1:7" s="1" customFormat="1" ht="13.5" customHeight="1" x14ac:dyDescent="0.2">
      <c r="A103" s="61" t="s">
        <v>113</v>
      </c>
      <c r="B103" s="57">
        <f>643399.85/7.5345</f>
        <v>85393.835025549139</v>
      </c>
      <c r="C103" s="57"/>
      <c r="D103" s="57"/>
      <c r="E103" s="57">
        <v>32600</v>
      </c>
      <c r="F103" s="57">
        <f t="shared" si="25"/>
        <v>38.176058014312567</v>
      </c>
      <c r="G103" s="57"/>
    </row>
    <row r="104" spans="1:7" s="62" customFormat="1" ht="13.5" customHeight="1" x14ac:dyDescent="0.2">
      <c r="A104" s="63" t="s">
        <v>151</v>
      </c>
      <c r="B104" s="58">
        <f>SUM(B105:B107)</f>
        <v>215.67456367376732</v>
      </c>
      <c r="C104" s="58"/>
      <c r="D104" s="58"/>
      <c r="E104" s="58">
        <f t="shared" ref="E104" si="43">SUM(E105:E107)</f>
        <v>9645.2199999999993</v>
      </c>
      <c r="F104" s="58">
        <f t="shared" si="25"/>
        <v>4472.1175440000006</v>
      </c>
      <c r="G104" s="58"/>
    </row>
    <row r="105" spans="1:7" s="1" customFormat="1" ht="13.5" customHeight="1" x14ac:dyDescent="0.2">
      <c r="A105" s="61" t="s">
        <v>114</v>
      </c>
      <c r="B105" s="57">
        <f>1625/7.5345</f>
        <v>215.67456367376732</v>
      </c>
      <c r="C105" s="57"/>
      <c r="D105" s="57"/>
      <c r="E105" s="57">
        <v>0</v>
      </c>
      <c r="F105" s="57">
        <f t="shared" si="25"/>
        <v>0</v>
      </c>
      <c r="G105" s="57"/>
    </row>
    <row r="106" spans="1:7" s="1" customFormat="1" ht="13.5" hidden="1" customHeight="1" x14ac:dyDescent="0.2">
      <c r="A106" s="61" t="s">
        <v>115</v>
      </c>
      <c r="B106" s="60"/>
      <c r="C106" s="59"/>
      <c r="D106" s="59"/>
      <c r="E106" s="59"/>
      <c r="F106" s="57" t="e">
        <f t="shared" si="25"/>
        <v>#DIV/0!</v>
      </c>
      <c r="G106" s="57"/>
    </row>
    <row r="107" spans="1:7" s="1" customFormat="1" ht="13.5" customHeight="1" x14ac:dyDescent="0.2">
      <c r="A107" s="61" t="s">
        <v>116</v>
      </c>
      <c r="B107" s="57">
        <v>0</v>
      </c>
      <c r="C107" s="57"/>
      <c r="D107" s="57"/>
      <c r="E107" s="57">
        <v>9645.2199999999993</v>
      </c>
      <c r="F107" s="57"/>
      <c r="G107" s="57"/>
    </row>
    <row r="108" spans="1:7" s="1" customFormat="1" ht="13.5" customHeight="1" x14ac:dyDescent="0.2">
      <c r="A108" s="66" t="s">
        <v>9</v>
      </c>
      <c r="B108" s="67">
        <f>B111+B113+B114+B117+B119+B120+B121+B122+B123+B124+B125+B127+B128+B130+B132+B135+B137</f>
        <v>1032456.3209237506</v>
      </c>
      <c r="C108" s="67">
        <f>C109+C115+C133</f>
        <v>8515352</v>
      </c>
      <c r="D108" s="67">
        <f>D109+D115+D133</f>
        <v>8515352</v>
      </c>
      <c r="E108" s="67">
        <f t="shared" ref="E108" si="44">E111+E113+E114+E117+E119+E120+E121+E122+E123+E124+E125+E127+E128+E130+E132+E135+E137</f>
        <v>1092236.68</v>
      </c>
      <c r="F108" s="67">
        <f t="shared" si="25"/>
        <v>105.79011023175906</v>
      </c>
      <c r="G108" s="67">
        <f>E108/D108*100</f>
        <v>12.826676806783793</v>
      </c>
    </row>
    <row r="109" spans="1:7" s="1" customFormat="1" ht="13.5" customHeight="1" x14ac:dyDescent="0.2">
      <c r="A109" s="65" t="s">
        <v>61</v>
      </c>
      <c r="B109" s="58">
        <f>B110+B112</f>
        <v>41674.961842192577</v>
      </c>
      <c r="C109" s="58">
        <v>1234322</v>
      </c>
      <c r="D109" s="58">
        <v>1234322</v>
      </c>
      <c r="E109" s="58">
        <f t="shared" ref="E109" si="45">E110+E112</f>
        <v>0</v>
      </c>
      <c r="F109" s="58">
        <f t="shared" si="25"/>
        <v>0</v>
      </c>
      <c r="G109" s="58">
        <f>E109/D109*100</f>
        <v>0</v>
      </c>
    </row>
    <row r="110" spans="1:7" s="1" customFormat="1" ht="13.5" hidden="1" customHeight="1" x14ac:dyDescent="0.2">
      <c r="A110" s="65" t="s">
        <v>152</v>
      </c>
      <c r="B110" s="58">
        <f>B111</f>
        <v>0</v>
      </c>
      <c r="C110" s="58"/>
      <c r="D110" s="58"/>
      <c r="E110" s="58">
        <f t="shared" ref="E110" si="46">E111</f>
        <v>0</v>
      </c>
      <c r="F110" s="58"/>
      <c r="G110" s="58"/>
    </row>
    <row r="111" spans="1:7" s="1" customFormat="1" ht="13.5" hidden="1" customHeight="1" x14ac:dyDescent="0.2">
      <c r="A111" s="61" t="s">
        <v>117</v>
      </c>
      <c r="B111" s="57"/>
      <c r="C111" s="57"/>
      <c r="D111" s="57"/>
      <c r="E111" s="57"/>
      <c r="F111" s="57"/>
      <c r="G111" s="57"/>
    </row>
    <row r="112" spans="1:7" s="62" customFormat="1" ht="13.5" customHeight="1" x14ac:dyDescent="0.2">
      <c r="A112" s="63" t="s">
        <v>153</v>
      </c>
      <c r="B112" s="58">
        <f>SUM(B113:B114)</f>
        <v>41674.961842192577</v>
      </c>
      <c r="C112" s="58"/>
      <c r="D112" s="58"/>
      <c r="E112" s="58">
        <f t="shared" ref="E112" si="47">SUM(E113:E114)</f>
        <v>0</v>
      </c>
      <c r="F112" s="58">
        <f t="shared" si="25"/>
        <v>0</v>
      </c>
      <c r="G112" s="58"/>
    </row>
    <row r="113" spans="1:7" s="1" customFormat="1" ht="13.5" hidden="1" customHeight="1" x14ac:dyDescent="0.2">
      <c r="A113" s="61" t="s">
        <v>118</v>
      </c>
      <c r="B113" s="57"/>
      <c r="C113" s="57"/>
      <c r="D113" s="57"/>
      <c r="E113" s="59"/>
      <c r="F113" s="57"/>
      <c r="G113" s="57"/>
    </row>
    <row r="114" spans="1:7" s="1" customFormat="1" ht="13.5" customHeight="1" x14ac:dyDescent="0.2">
      <c r="A114" s="61" t="s">
        <v>119</v>
      </c>
      <c r="B114" s="57">
        <f>314000/7.5345</f>
        <v>41674.961842192577</v>
      </c>
      <c r="C114" s="57"/>
      <c r="D114" s="57"/>
      <c r="E114" s="57">
        <v>0</v>
      </c>
      <c r="F114" s="57">
        <f t="shared" ref="F114:F137" si="48">E114/B114*100</f>
        <v>0</v>
      </c>
      <c r="G114" s="57"/>
    </row>
    <row r="115" spans="1:7" s="1" customFormat="1" ht="13.5" customHeight="1" x14ac:dyDescent="0.2">
      <c r="A115" s="65" t="s">
        <v>59</v>
      </c>
      <c r="B115" s="58">
        <f>B116+B118+B126+B129+B131</f>
        <v>206655.31223040679</v>
      </c>
      <c r="C115" s="58">
        <v>3970913</v>
      </c>
      <c r="D115" s="58">
        <v>3970913</v>
      </c>
      <c r="E115" s="58">
        <f t="shared" ref="E115" si="49">E116+E118+E126+E129+E131</f>
        <v>163347.36000000002</v>
      </c>
      <c r="F115" s="58">
        <f t="shared" si="48"/>
        <v>79.043387869883873</v>
      </c>
      <c r="G115" s="58">
        <f>E115/D115*100</f>
        <v>4.1135970493435643</v>
      </c>
    </row>
    <row r="116" spans="1:7" s="1" customFormat="1" ht="13.5" customHeight="1" x14ac:dyDescent="0.2">
      <c r="A116" s="65" t="s">
        <v>154</v>
      </c>
      <c r="B116" s="58">
        <f>B117</f>
        <v>183413.13292189263</v>
      </c>
      <c r="C116" s="58"/>
      <c r="D116" s="58"/>
      <c r="E116" s="58">
        <f t="shared" ref="E116" si="50">E117</f>
        <v>3838.54</v>
      </c>
      <c r="F116" s="58">
        <f t="shared" si="48"/>
        <v>2.0928381402408416</v>
      </c>
      <c r="G116" s="58"/>
    </row>
    <row r="117" spans="1:7" s="1" customFormat="1" ht="13.5" customHeight="1" x14ac:dyDescent="0.2">
      <c r="A117" s="61" t="s">
        <v>120</v>
      </c>
      <c r="B117" s="57">
        <f>1381926.25/7.5345</f>
        <v>183413.13292189263</v>
      </c>
      <c r="C117" s="57"/>
      <c r="D117" s="57"/>
      <c r="E117" s="57">
        <v>3838.54</v>
      </c>
      <c r="F117" s="57">
        <f t="shared" si="48"/>
        <v>2.0928381402408416</v>
      </c>
      <c r="G117" s="57"/>
    </row>
    <row r="118" spans="1:7" s="62" customFormat="1" ht="13.5" customHeight="1" x14ac:dyDescent="0.2">
      <c r="A118" s="63" t="s">
        <v>155</v>
      </c>
      <c r="B118" s="58">
        <f>SUM(B119:B125)</f>
        <v>23242.179308514169</v>
      </c>
      <c r="C118" s="58"/>
      <c r="D118" s="58"/>
      <c r="E118" s="58">
        <f t="shared" ref="E118" si="51">SUM(E119:E125)</f>
        <v>136717.57</v>
      </c>
      <c r="F118" s="58">
        <f t="shared" si="48"/>
        <v>588.23042445902263</v>
      </c>
      <c r="G118" s="58"/>
    </row>
    <row r="119" spans="1:7" s="1" customFormat="1" ht="13.5" customHeight="1" x14ac:dyDescent="0.2">
      <c r="A119" s="61" t="s">
        <v>121</v>
      </c>
      <c r="B119" s="57">
        <f>51445.75/7.5345</f>
        <v>6828.0244209967477</v>
      </c>
      <c r="C119" s="57"/>
      <c r="D119" s="57"/>
      <c r="E119" s="57">
        <v>28534.799999999999</v>
      </c>
      <c r="F119" s="57">
        <f t="shared" si="48"/>
        <v>417.90711691441959</v>
      </c>
      <c r="G119" s="57"/>
    </row>
    <row r="120" spans="1:7" s="1" customFormat="1" ht="13.5" customHeight="1" x14ac:dyDescent="0.2">
      <c r="A120" s="61" t="s">
        <v>122</v>
      </c>
      <c r="B120" s="57">
        <f>11917.55/7.5345</f>
        <v>1581.7307054217265</v>
      </c>
      <c r="C120" s="57"/>
      <c r="D120" s="57"/>
      <c r="E120" s="57">
        <v>2349.7199999999998</v>
      </c>
      <c r="F120" s="57">
        <f t="shared" si="48"/>
        <v>148.5537324366166</v>
      </c>
      <c r="G120" s="57"/>
    </row>
    <row r="121" spans="1:7" s="1" customFormat="1" ht="13.5" customHeight="1" x14ac:dyDescent="0.2">
      <c r="A121" s="61" t="s">
        <v>123</v>
      </c>
      <c r="B121" s="57">
        <v>0</v>
      </c>
      <c r="C121" s="57"/>
      <c r="D121" s="57"/>
      <c r="E121" s="57">
        <v>8975</v>
      </c>
      <c r="F121" s="57"/>
      <c r="G121" s="57"/>
    </row>
    <row r="122" spans="1:7" s="1" customFormat="1" ht="13.5" customHeight="1" x14ac:dyDescent="0.2">
      <c r="A122" s="61" t="s">
        <v>124</v>
      </c>
      <c r="B122" s="57">
        <v>0</v>
      </c>
      <c r="C122" s="57"/>
      <c r="D122" s="57"/>
      <c r="E122" s="57">
        <v>591.5</v>
      </c>
      <c r="F122" s="57"/>
      <c r="G122" s="57"/>
    </row>
    <row r="123" spans="1:7" s="1" customFormat="1" ht="13.5" customHeight="1" x14ac:dyDescent="0.2">
      <c r="A123" s="61" t="s">
        <v>125</v>
      </c>
      <c r="B123" s="57">
        <v>0</v>
      </c>
      <c r="C123" s="57"/>
      <c r="D123" s="57"/>
      <c r="E123" s="57">
        <v>4491.25</v>
      </c>
      <c r="F123" s="57"/>
      <c r="G123" s="57"/>
    </row>
    <row r="124" spans="1:7" s="1" customFormat="1" ht="13.5" hidden="1" customHeight="1" x14ac:dyDescent="0.2">
      <c r="A124" s="61" t="s">
        <v>126</v>
      </c>
      <c r="B124" s="59"/>
      <c r="C124" s="57"/>
      <c r="D124" s="57"/>
      <c r="E124" s="57"/>
      <c r="F124" s="57"/>
      <c r="G124" s="57"/>
    </row>
    <row r="125" spans="1:7" s="1" customFormat="1" ht="13.5" customHeight="1" x14ac:dyDescent="0.2">
      <c r="A125" s="61" t="s">
        <v>127</v>
      </c>
      <c r="B125" s="57">
        <f>111754.9/7.5345</f>
        <v>14832.424182095692</v>
      </c>
      <c r="C125" s="57"/>
      <c r="D125" s="57"/>
      <c r="E125" s="57">
        <v>91775.3</v>
      </c>
      <c r="F125" s="57">
        <f t="shared" si="48"/>
        <v>618.74781137113462</v>
      </c>
      <c r="G125" s="57"/>
    </row>
    <row r="126" spans="1:7" s="62" customFormat="1" ht="13.5" hidden="1" customHeight="1" x14ac:dyDescent="0.2">
      <c r="A126" s="63" t="s">
        <v>156</v>
      </c>
      <c r="B126" s="58">
        <f>SUM(B127:B128)</f>
        <v>0</v>
      </c>
      <c r="C126" s="58"/>
      <c r="D126" s="58"/>
      <c r="E126" s="58">
        <f t="shared" ref="E126" si="52">SUM(E127:E128)</f>
        <v>0</v>
      </c>
      <c r="F126" s="58"/>
      <c r="G126" s="58"/>
    </row>
    <row r="127" spans="1:7" s="1" customFormat="1" ht="13.5" hidden="1" customHeight="1" x14ac:dyDescent="0.2">
      <c r="A127" s="61" t="s">
        <v>128</v>
      </c>
      <c r="B127" s="59"/>
      <c r="C127" s="57"/>
      <c r="D127" s="57"/>
      <c r="E127" s="59"/>
      <c r="F127" s="57"/>
      <c r="G127" s="57"/>
    </row>
    <row r="128" spans="1:7" s="1" customFormat="1" ht="13.5" hidden="1" customHeight="1" x14ac:dyDescent="0.2">
      <c r="A128" s="64" t="s">
        <v>129</v>
      </c>
      <c r="B128" s="57"/>
      <c r="C128" s="57"/>
      <c r="D128" s="57"/>
      <c r="E128" s="59"/>
      <c r="F128" s="57"/>
      <c r="G128" s="57"/>
    </row>
    <row r="129" spans="1:7" s="62" customFormat="1" ht="13.5" customHeight="1" x14ac:dyDescent="0.2">
      <c r="A129" s="65" t="s">
        <v>157</v>
      </c>
      <c r="B129" s="58">
        <f>B130</f>
        <v>0</v>
      </c>
      <c r="C129" s="58"/>
      <c r="D129" s="58"/>
      <c r="E129" s="58">
        <f t="shared" ref="E129" si="53">E130</f>
        <v>305.8</v>
      </c>
      <c r="F129" s="58"/>
      <c r="G129" s="58"/>
    </row>
    <row r="130" spans="1:7" s="1" customFormat="1" ht="13.5" customHeight="1" x14ac:dyDescent="0.2">
      <c r="A130" s="61" t="s">
        <v>130</v>
      </c>
      <c r="B130" s="57">
        <v>0</v>
      </c>
      <c r="C130" s="57"/>
      <c r="D130" s="57"/>
      <c r="E130" s="57">
        <v>305.8</v>
      </c>
      <c r="F130" s="57"/>
      <c r="G130" s="57"/>
    </row>
    <row r="131" spans="1:7" s="62" customFormat="1" ht="13.5" customHeight="1" x14ac:dyDescent="0.2">
      <c r="A131" s="63" t="s">
        <v>158</v>
      </c>
      <c r="B131" s="58">
        <f>B132</f>
        <v>0</v>
      </c>
      <c r="C131" s="58"/>
      <c r="D131" s="58"/>
      <c r="E131" s="58">
        <f t="shared" ref="E131" si="54">E132</f>
        <v>22485.45</v>
      </c>
      <c r="F131" s="58"/>
      <c r="G131" s="58"/>
    </row>
    <row r="132" spans="1:7" s="1" customFormat="1" ht="13.5" customHeight="1" x14ac:dyDescent="0.2">
      <c r="A132" s="61" t="s">
        <v>131</v>
      </c>
      <c r="B132" s="57">
        <v>0</v>
      </c>
      <c r="C132" s="57"/>
      <c r="D132" s="57"/>
      <c r="E132" s="57">
        <v>22485.45</v>
      </c>
      <c r="F132" s="57"/>
      <c r="G132" s="57"/>
    </row>
    <row r="133" spans="1:7" s="1" customFormat="1" ht="13.5" customHeight="1" x14ac:dyDescent="0.2">
      <c r="A133" s="65" t="s">
        <v>60</v>
      </c>
      <c r="B133" s="58">
        <f>B134+B136</f>
        <v>784126.04685115127</v>
      </c>
      <c r="C133" s="58">
        <v>3310117</v>
      </c>
      <c r="D133" s="58">
        <v>3310117</v>
      </c>
      <c r="E133" s="58">
        <f t="shared" ref="E133" si="55">E134+E136</f>
        <v>928889.32</v>
      </c>
      <c r="F133" s="58">
        <f t="shared" si="48"/>
        <v>118.46173503994426</v>
      </c>
      <c r="G133" s="58">
        <f>E133/D133*100</f>
        <v>28.062129525935188</v>
      </c>
    </row>
    <row r="134" spans="1:7" s="1" customFormat="1" ht="13.5" customHeight="1" x14ac:dyDescent="0.2">
      <c r="A134" s="65" t="s">
        <v>159</v>
      </c>
      <c r="B134" s="58">
        <f>B135</f>
        <v>764141.97358816105</v>
      </c>
      <c r="C134" s="58"/>
      <c r="D134" s="58"/>
      <c r="E134" s="58">
        <f t="shared" ref="E134" si="56">E135</f>
        <v>928889.32</v>
      </c>
      <c r="F134" s="58">
        <f t="shared" si="48"/>
        <v>121.55978235801382</v>
      </c>
      <c r="G134" s="58"/>
    </row>
    <row r="135" spans="1:7" s="1" customFormat="1" ht="13.5" customHeight="1" x14ac:dyDescent="0.2">
      <c r="A135" s="61" t="s">
        <v>132</v>
      </c>
      <c r="B135" s="57">
        <f>5757427.7/7.5345</f>
        <v>764141.97358816105</v>
      </c>
      <c r="C135" s="57"/>
      <c r="D135" s="57"/>
      <c r="E135" s="57">
        <v>928889.32</v>
      </c>
      <c r="F135" s="57">
        <f t="shared" si="48"/>
        <v>121.55978235801382</v>
      </c>
      <c r="G135" s="57"/>
    </row>
    <row r="136" spans="1:7" s="62" customFormat="1" ht="13.5" customHeight="1" x14ac:dyDescent="0.2">
      <c r="A136" s="63" t="s">
        <v>160</v>
      </c>
      <c r="B136" s="58">
        <f>B137</f>
        <v>19984.073262990245</v>
      </c>
      <c r="C136" s="58"/>
      <c r="D136" s="58"/>
      <c r="E136" s="58">
        <f t="shared" ref="E136" si="57">E137</f>
        <v>0</v>
      </c>
      <c r="F136" s="58">
        <f t="shared" si="48"/>
        <v>0</v>
      </c>
      <c r="G136" s="58"/>
    </row>
    <row r="137" spans="1:7" s="1" customFormat="1" ht="13.5" customHeight="1" x14ac:dyDescent="0.2">
      <c r="A137" s="61" t="s">
        <v>133</v>
      </c>
      <c r="B137" s="57">
        <f>150570/7.5345</f>
        <v>19984.073262990245</v>
      </c>
      <c r="C137" s="57"/>
      <c r="D137" s="57"/>
      <c r="E137" s="57">
        <v>0</v>
      </c>
      <c r="F137" s="57">
        <f t="shared" si="48"/>
        <v>0</v>
      </c>
      <c r="G137" s="57"/>
    </row>
    <row r="138" spans="1:7" ht="13.5" customHeight="1" x14ac:dyDescent="0.2">
      <c r="A138" s="69"/>
      <c r="B138" s="68"/>
      <c r="C138" s="68"/>
      <c r="D138" s="68"/>
      <c r="E138" s="68"/>
    </row>
    <row r="139" spans="1:7" ht="13.5" customHeight="1" x14ac:dyDescent="0.2">
      <c r="A139" s="69"/>
      <c r="B139" s="68"/>
      <c r="C139" s="68"/>
      <c r="D139" s="68"/>
      <c r="E139" s="68"/>
    </row>
    <row r="140" spans="1:7" ht="13.5" customHeight="1" x14ac:dyDescent="0.2">
      <c r="A140" s="69"/>
      <c r="B140" s="68"/>
      <c r="C140" s="68"/>
      <c r="D140" s="68"/>
      <c r="E140" s="68"/>
    </row>
    <row r="141" spans="1:7" ht="13.5" customHeight="1" x14ac:dyDescent="0.2">
      <c r="A141" s="69"/>
      <c r="B141" s="68"/>
      <c r="C141" s="68"/>
      <c r="D141" s="68"/>
      <c r="E141" s="68"/>
    </row>
    <row r="142" spans="1:7" ht="13.5" customHeight="1" x14ac:dyDescent="0.2"/>
    <row r="143" spans="1:7" ht="13.5" customHeight="1" x14ac:dyDescent="0.2"/>
  </sheetData>
  <mergeCells count="3">
    <mergeCell ref="A1:G1"/>
    <mergeCell ref="A3:G3"/>
    <mergeCell ref="A4:G4"/>
  </mergeCells>
  <printOptions horizontalCentered="1"/>
  <pageMargins left="0.11811023622047245" right="0.11811023622047245" top="0.55118110236220474" bottom="0.35433070866141736" header="0.31496062992125984" footer="0.11811023622047245"/>
  <pageSetup paperSize="9" orientation="landscape" horizontalDpi="4294967295" verticalDpi="4294967295" r:id="rId1"/>
  <headerFooter>
    <oddFooter>&amp;C
&amp;"Arial,Uobičajeno"&amp;9Stranica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zoomScaleNormal="100" zoomScaleSheetLayoutView="100" workbookViewId="0">
      <pane ySplit="9" topLeftCell="A10" activePane="bottomLeft" state="frozen"/>
      <selection pane="bottomLeft" activeCell="A5" sqref="A5"/>
    </sheetView>
  </sheetViews>
  <sheetFormatPr defaultRowHeight="15" x14ac:dyDescent="0.25"/>
  <cols>
    <col min="1" max="1" width="52.140625" customWidth="1"/>
    <col min="2" max="5" width="15.85546875" customWidth="1"/>
  </cols>
  <sheetData>
    <row r="1" spans="1:7" ht="33" customHeight="1" x14ac:dyDescent="0.25">
      <c r="A1" s="88" t="s">
        <v>177</v>
      </c>
      <c r="B1" s="88"/>
      <c r="C1" s="88"/>
      <c r="D1" s="88"/>
      <c r="E1" s="88"/>
      <c r="F1" s="88"/>
      <c r="G1" s="88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89" t="s">
        <v>0</v>
      </c>
      <c r="B3" s="89"/>
      <c r="C3" s="89"/>
      <c r="D3" s="89"/>
      <c r="E3" s="89"/>
      <c r="F3" s="89"/>
      <c r="G3" s="89"/>
    </row>
    <row r="4" spans="1:7" ht="33" customHeight="1" x14ac:dyDescent="0.25">
      <c r="A4" s="90" t="s">
        <v>1</v>
      </c>
      <c r="B4" s="90"/>
      <c r="C4" s="90"/>
      <c r="D4" s="90"/>
      <c r="E4" s="90"/>
      <c r="F4" s="90"/>
      <c r="G4" s="90"/>
    </row>
    <row r="5" spans="1:7" x14ac:dyDescent="0.25">
      <c r="A5" s="51" t="s">
        <v>165</v>
      </c>
    </row>
    <row r="7" spans="1:7" ht="39.950000000000003" customHeight="1" x14ac:dyDescent="0.25">
      <c r="A7" s="23" t="s">
        <v>2</v>
      </c>
      <c r="B7" s="15" t="s">
        <v>57</v>
      </c>
      <c r="C7" s="15" t="s">
        <v>14</v>
      </c>
      <c r="D7" s="15" t="s">
        <v>15</v>
      </c>
      <c r="E7" s="15" t="s">
        <v>58</v>
      </c>
      <c r="F7" s="23" t="s">
        <v>3</v>
      </c>
      <c r="G7" s="23" t="s">
        <v>3</v>
      </c>
    </row>
    <row r="8" spans="1:7" ht="13.5" customHeight="1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 t="s">
        <v>22</v>
      </c>
      <c r="G8" s="16" t="s">
        <v>23</v>
      </c>
    </row>
    <row r="9" spans="1:7" ht="13.5" customHeight="1" x14ac:dyDescent="0.25">
      <c r="A9" s="26" t="s">
        <v>24</v>
      </c>
      <c r="B9" s="27">
        <f>B10+B26</f>
        <v>14301155.601566128</v>
      </c>
      <c r="C9" s="27">
        <f>C10+C26</f>
        <v>48082366</v>
      </c>
      <c r="D9" s="27">
        <f t="shared" ref="D9:E9" si="0">D10+D26</f>
        <v>48082366</v>
      </c>
      <c r="E9" s="27">
        <f t="shared" si="0"/>
        <v>18594260.41</v>
      </c>
      <c r="F9" s="28">
        <f t="shared" ref="F9" si="1">E9/B9*100</f>
        <v>130.01928604960938</v>
      </c>
      <c r="G9" s="28">
        <f>E9/D9*100</f>
        <v>38.671683523227621</v>
      </c>
    </row>
    <row r="10" spans="1:7" ht="13.5" customHeight="1" x14ac:dyDescent="0.25">
      <c r="A10" s="43" t="s">
        <v>5</v>
      </c>
      <c r="B10" s="24">
        <f t="shared" ref="B10:D10" si="2">B13+B14+B15+B18+B19+B22+B25</f>
        <v>14294121.292720154</v>
      </c>
      <c r="C10" s="24">
        <f t="shared" si="2"/>
        <v>48082366</v>
      </c>
      <c r="D10" s="24">
        <f t="shared" si="2"/>
        <v>48082366</v>
      </c>
      <c r="E10" s="24">
        <f>E13+E14+E15+E18+E19+E22+E25</f>
        <v>18594260.41</v>
      </c>
      <c r="F10" s="25">
        <f t="shared" ref="F10" si="3">E10/B10*100</f>
        <v>130.0832701025831</v>
      </c>
      <c r="G10" s="25">
        <f>E10/D10*100</f>
        <v>38.671683523227621</v>
      </c>
    </row>
    <row r="11" spans="1:7" ht="13.5" customHeight="1" x14ac:dyDescent="0.25">
      <c r="A11" s="29" t="s">
        <v>25</v>
      </c>
      <c r="B11" s="27">
        <f>B12</f>
        <v>5638504.5258477665</v>
      </c>
      <c r="C11" s="27">
        <f t="shared" ref="C11:E11" si="4">C12</f>
        <v>18453930</v>
      </c>
      <c r="D11" s="27">
        <f t="shared" si="4"/>
        <v>18453930</v>
      </c>
      <c r="E11" s="27">
        <f t="shared" si="4"/>
        <v>8213669.4300000006</v>
      </c>
      <c r="F11" s="28">
        <f>E11/B11*100</f>
        <v>145.67106211136809</v>
      </c>
      <c r="G11" s="28">
        <f>E11/D11*100</f>
        <v>44.5090527058464</v>
      </c>
    </row>
    <row r="12" spans="1:7" ht="13.5" customHeight="1" x14ac:dyDescent="0.25">
      <c r="A12" s="31" t="s">
        <v>26</v>
      </c>
      <c r="B12" s="32">
        <f>SUM(B13:B15)</f>
        <v>5638504.5258477665</v>
      </c>
      <c r="C12" s="32">
        <f t="shared" ref="C12:E12" si="5">SUM(C13:C15)</f>
        <v>18453930</v>
      </c>
      <c r="D12" s="32">
        <f t="shared" si="5"/>
        <v>18453930</v>
      </c>
      <c r="E12" s="32">
        <f t="shared" si="5"/>
        <v>8213669.4300000006</v>
      </c>
      <c r="F12" s="33">
        <f>E12/B12*100</f>
        <v>145.67106211136809</v>
      </c>
      <c r="G12" s="33">
        <f>E12/D12*100</f>
        <v>44.5090527058464</v>
      </c>
    </row>
    <row r="13" spans="1:7" ht="13.5" customHeight="1" x14ac:dyDescent="0.25">
      <c r="A13" s="20" t="s">
        <v>34</v>
      </c>
      <c r="B13" s="21">
        <f>558.37/7.5345</f>
        <v>74.108434534474739</v>
      </c>
      <c r="C13" s="21">
        <v>3451</v>
      </c>
      <c r="D13" s="21">
        <v>3451</v>
      </c>
      <c r="E13" s="21">
        <v>2644.54</v>
      </c>
      <c r="F13" s="22">
        <f t="shared" ref="F13" si="6">E13/B13*100</f>
        <v>3568.4737056073936</v>
      </c>
      <c r="G13" s="22">
        <f t="shared" ref="G13" si="7">E13/D13*100</f>
        <v>76.63112141408287</v>
      </c>
    </row>
    <row r="14" spans="1:7" ht="25.5" x14ac:dyDescent="0.25">
      <c r="A14" s="20" t="s">
        <v>39</v>
      </c>
      <c r="B14" s="21">
        <f>42482753.98/7.5345</f>
        <v>5638430.4174132319</v>
      </c>
      <c r="C14" s="21">
        <v>18450479</v>
      </c>
      <c r="D14" s="21">
        <v>18450479</v>
      </c>
      <c r="E14" s="21">
        <v>8189997.8200000003</v>
      </c>
      <c r="F14" s="22">
        <f>E14/B14*100</f>
        <v>145.25315049923705</v>
      </c>
      <c r="G14" s="22">
        <f>E14/D14*100</f>
        <v>44.389079654788368</v>
      </c>
    </row>
    <row r="15" spans="1:7" x14ac:dyDescent="0.25">
      <c r="A15" s="20" t="s">
        <v>43</v>
      </c>
      <c r="B15" s="21">
        <v>0</v>
      </c>
      <c r="C15" s="21">
        <v>0</v>
      </c>
      <c r="D15" s="21">
        <v>0</v>
      </c>
      <c r="E15" s="21">
        <v>21027.07</v>
      </c>
      <c r="F15" s="22"/>
      <c r="G15" s="22"/>
    </row>
    <row r="16" spans="1:7" ht="13.5" customHeight="1" x14ac:dyDescent="0.25">
      <c r="A16" s="29" t="s">
        <v>172</v>
      </c>
      <c r="B16" s="27">
        <f>B17</f>
        <v>8641486.2419536803</v>
      </c>
      <c r="C16" s="27">
        <f t="shared" ref="C16:E16" si="8">C17</f>
        <v>29482433</v>
      </c>
      <c r="D16" s="27">
        <f t="shared" si="8"/>
        <v>29482433</v>
      </c>
      <c r="E16" s="27">
        <f t="shared" si="8"/>
        <v>10248353.109999999</v>
      </c>
      <c r="F16" s="30">
        <f t="shared" ref="F16:F28" si="9">E16/B16*100</f>
        <v>118.59479750422001</v>
      </c>
      <c r="G16" s="30">
        <f t="shared" ref="G16:G25" si="10">E16/D16*100</f>
        <v>34.760879843261236</v>
      </c>
    </row>
    <row r="17" spans="1:7" ht="13.5" customHeight="1" x14ac:dyDescent="0.25">
      <c r="A17" s="31" t="s">
        <v>27</v>
      </c>
      <c r="B17" s="32">
        <f>SUM(B18:B19)</f>
        <v>8641486.2419536803</v>
      </c>
      <c r="C17" s="32">
        <f t="shared" ref="C17" si="11">SUM(C18:C19)</f>
        <v>29482433</v>
      </c>
      <c r="D17" s="32">
        <f t="shared" ref="D17" si="12">SUM(D18:D19)</f>
        <v>29482433</v>
      </c>
      <c r="E17" s="32">
        <f t="shared" ref="E17" si="13">SUM(E18:E19)</f>
        <v>10248353.109999999</v>
      </c>
      <c r="F17" s="34">
        <f t="shared" si="9"/>
        <v>118.59479750422001</v>
      </c>
      <c r="G17" s="34">
        <f t="shared" si="10"/>
        <v>34.760879843261236</v>
      </c>
    </row>
    <row r="18" spans="1:7" ht="25.5" x14ac:dyDescent="0.25">
      <c r="A18" s="20" t="s">
        <v>47</v>
      </c>
      <c r="B18" s="21">
        <f>56205144.89/7.5345</f>
        <v>7459704.6771517685</v>
      </c>
      <c r="C18" s="21">
        <v>29373600</v>
      </c>
      <c r="D18" s="21">
        <v>29373600</v>
      </c>
      <c r="E18" s="21">
        <v>10205264.029999999</v>
      </c>
      <c r="F18" s="22">
        <f>E18/B18*100</f>
        <v>136.8052017026568</v>
      </c>
      <c r="G18" s="22">
        <f t="shared" si="10"/>
        <v>34.74298019309856</v>
      </c>
    </row>
    <row r="19" spans="1:7" ht="13.5" customHeight="1" x14ac:dyDescent="0.25">
      <c r="A19" s="20" t="s">
        <v>43</v>
      </c>
      <c r="B19" s="21">
        <f>8904133.2/7.5345</f>
        <v>1181781.5648019111</v>
      </c>
      <c r="C19" s="21">
        <v>108833</v>
      </c>
      <c r="D19" s="21">
        <v>108833</v>
      </c>
      <c r="E19" s="21">
        <v>43089.08</v>
      </c>
      <c r="F19" s="22">
        <f>E19/B19*100</f>
        <v>3.6461120467065795</v>
      </c>
      <c r="G19" s="22">
        <f t="shared" ref="G19" si="14">E19/D19*100</f>
        <v>39.591925243262615</v>
      </c>
    </row>
    <row r="20" spans="1:7" ht="13.5" customHeight="1" x14ac:dyDescent="0.25">
      <c r="A20" s="29" t="s">
        <v>28</v>
      </c>
      <c r="B20" s="27">
        <f>B21</f>
        <v>14130.524918707279</v>
      </c>
      <c r="C20" s="27">
        <f t="shared" ref="C20:E21" si="15">C21</f>
        <v>125906</v>
      </c>
      <c r="D20" s="27">
        <f t="shared" si="15"/>
        <v>125906</v>
      </c>
      <c r="E20" s="27">
        <f t="shared" si="15"/>
        <v>118840.37</v>
      </c>
      <c r="F20" s="30">
        <f t="shared" si="9"/>
        <v>841.01879217995827</v>
      </c>
      <c r="G20" s="30">
        <f>E20/D20*100</f>
        <v>94.388170539926605</v>
      </c>
    </row>
    <row r="21" spans="1:7" ht="13.5" customHeight="1" x14ac:dyDescent="0.25">
      <c r="A21" s="31" t="s">
        <v>56</v>
      </c>
      <c r="B21" s="32">
        <f>B22</f>
        <v>14130.524918707279</v>
      </c>
      <c r="C21" s="32">
        <f t="shared" si="15"/>
        <v>125906</v>
      </c>
      <c r="D21" s="32">
        <f t="shared" si="15"/>
        <v>125906</v>
      </c>
      <c r="E21" s="32">
        <f t="shared" si="15"/>
        <v>118840.37</v>
      </c>
      <c r="F21" s="34">
        <f t="shared" si="9"/>
        <v>841.01879217995827</v>
      </c>
      <c r="G21" s="34">
        <f t="shared" si="10"/>
        <v>94.388170539926605</v>
      </c>
    </row>
    <row r="22" spans="1:7" ht="25.5" x14ac:dyDescent="0.25">
      <c r="A22" s="20" t="s">
        <v>68</v>
      </c>
      <c r="B22" s="21">
        <f>106466.44/7.5345</f>
        <v>14130.524918707279</v>
      </c>
      <c r="C22" s="21">
        <v>125906</v>
      </c>
      <c r="D22" s="21">
        <v>125906</v>
      </c>
      <c r="E22" s="21">
        <v>118840.37</v>
      </c>
      <c r="F22" s="22">
        <f t="shared" si="9"/>
        <v>841.01879217995827</v>
      </c>
      <c r="G22" s="22">
        <f t="shared" si="10"/>
        <v>94.388170539926605</v>
      </c>
    </row>
    <row r="23" spans="1:7" ht="13.5" customHeight="1" x14ac:dyDescent="0.25">
      <c r="A23" s="29" t="s">
        <v>29</v>
      </c>
      <c r="B23" s="27">
        <f>B24</f>
        <v>0</v>
      </c>
      <c r="C23" s="27">
        <f t="shared" ref="C23:E24" si="16">C24</f>
        <v>20097</v>
      </c>
      <c r="D23" s="27">
        <f t="shared" si="16"/>
        <v>20097</v>
      </c>
      <c r="E23" s="27">
        <f t="shared" si="16"/>
        <v>13397.5</v>
      </c>
      <c r="F23" s="30"/>
      <c r="G23" s="30">
        <f t="shared" si="10"/>
        <v>66.664178733144254</v>
      </c>
    </row>
    <row r="24" spans="1:7" ht="13.5" customHeight="1" x14ac:dyDescent="0.25">
      <c r="A24" s="31" t="s">
        <v>30</v>
      </c>
      <c r="B24" s="32">
        <f>B25</f>
        <v>0</v>
      </c>
      <c r="C24" s="32">
        <f t="shared" si="16"/>
        <v>20097</v>
      </c>
      <c r="D24" s="32">
        <f t="shared" si="16"/>
        <v>20097</v>
      </c>
      <c r="E24" s="32">
        <f t="shared" si="16"/>
        <v>13397.5</v>
      </c>
      <c r="F24" s="34"/>
      <c r="G24" s="34">
        <f>E24/D24*100</f>
        <v>66.664178733144254</v>
      </c>
    </row>
    <row r="25" spans="1:7" ht="25.5" x14ac:dyDescent="0.25">
      <c r="A25" s="20" t="s">
        <v>70</v>
      </c>
      <c r="B25" s="21">
        <v>0</v>
      </c>
      <c r="C25" s="21">
        <v>20097</v>
      </c>
      <c r="D25" s="21">
        <v>20097</v>
      </c>
      <c r="E25" s="21">
        <v>13397.5</v>
      </c>
      <c r="F25" s="22"/>
      <c r="G25" s="22">
        <f t="shared" si="10"/>
        <v>66.664178733144254</v>
      </c>
    </row>
    <row r="26" spans="1:7" ht="13.5" customHeight="1" x14ac:dyDescent="0.25">
      <c r="A26" s="43" t="s">
        <v>6</v>
      </c>
      <c r="B26" s="24">
        <f>B29</f>
        <v>7034.3088459751807</v>
      </c>
      <c r="C26" s="24">
        <f t="shared" ref="C26:E26" si="17">C29</f>
        <v>0</v>
      </c>
      <c r="D26" s="24">
        <f t="shared" si="17"/>
        <v>0</v>
      </c>
      <c r="E26" s="24">
        <f t="shared" si="17"/>
        <v>0</v>
      </c>
      <c r="F26" s="25">
        <f t="shared" si="9"/>
        <v>0</v>
      </c>
      <c r="G26" s="25"/>
    </row>
    <row r="27" spans="1:7" ht="26.25" customHeight="1" x14ac:dyDescent="0.25">
      <c r="A27" s="29" t="s">
        <v>31</v>
      </c>
      <c r="B27" s="27">
        <f>B28</f>
        <v>7034.3088459751807</v>
      </c>
      <c r="C27" s="27">
        <f t="shared" ref="C27:E28" si="18">C28</f>
        <v>0</v>
      </c>
      <c r="D27" s="27">
        <f t="shared" si="18"/>
        <v>0</v>
      </c>
      <c r="E27" s="27">
        <f t="shared" si="18"/>
        <v>0</v>
      </c>
      <c r="F27" s="30">
        <f t="shared" si="9"/>
        <v>0</v>
      </c>
      <c r="G27" s="30"/>
    </row>
    <row r="28" spans="1:7" ht="25.5" x14ac:dyDescent="0.25">
      <c r="A28" s="31" t="s">
        <v>32</v>
      </c>
      <c r="B28" s="32">
        <f>B29</f>
        <v>7034.3088459751807</v>
      </c>
      <c r="C28" s="32">
        <f t="shared" si="18"/>
        <v>0</v>
      </c>
      <c r="D28" s="32">
        <f t="shared" si="18"/>
        <v>0</v>
      </c>
      <c r="E28" s="32">
        <f t="shared" si="18"/>
        <v>0</v>
      </c>
      <c r="F28" s="34">
        <f t="shared" si="9"/>
        <v>0</v>
      </c>
      <c r="G28" s="34"/>
    </row>
    <row r="29" spans="1:7" ht="13.5" customHeight="1" x14ac:dyDescent="0.25">
      <c r="A29" s="35" t="s">
        <v>45</v>
      </c>
      <c r="B29" s="36">
        <f>53000/7.5345</f>
        <v>7034.3088459751807</v>
      </c>
      <c r="C29" s="36">
        <v>0</v>
      </c>
      <c r="D29" s="36">
        <v>0</v>
      </c>
      <c r="E29" s="36">
        <v>0</v>
      </c>
      <c r="F29" s="37">
        <f>E29/B29*100</f>
        <v>0</v>
      </c>
      <c r="G29" s="37"/>
    </row>
    <row r="30" spans="1:7" ht="13.5" customHeight="1" x14ac:dyDescent="0.25">
      <c r="A30" s="38"/>
      <c r="B30" s="39"/>
      <c r="C30" s="39"/>
      <c r="D30" s="39"/>
      <c r="E30" s="39"/>
      <c r="F30" s="39"/>
      <c r="G30" s="40"/>
    </row>
    <row r="31" spans="1:7" ht="13.5" customHeight="1" x14ac:dyDescent="0.25">
      <c r="A31" s="47" t="s">
        <v>48</v>
      </c>
      <c r="B31" s="48">
        <f>B32+B53</f>
        <v>12078966.788771652</v>
      </c>
      <c r="C31" s="48">
        <f>C32+C53</f>
        <v>55010133</v>
      </c>
      <c r="D31" s="48">
        <f t="shared" ref="D31" si="19">D32+D53</f>
        <v>55010133</v>
      </c>
      <c r="E31" s="48">
        <f t="shared" ref="E31" si="20">E32+E53</f>
        <v>15266857.35</v>
      </c>
      <c r="F31" s="49">
        <f t="shared" ref="F31:F39" si="21">E31/B31*100</f>
        <v>126.39207986060316</v>
      </c>
      <c r="G31" s="50">
        <f>E31/D31*100</f>
        <v>27.752809377864985</v>
      </c>
    </row>
    <row r="32" spans="1:7" ht="13.5" customHeight="1" x14ac:dyDescent="0.25">
      <c r="A32" s="44" t="s">
        <v>8</v>
      </c>
      <c r="B32" s="45">
        <f>B35+B36+B37+B40+B41+B42+B43+B44+B45+B46+B49+B52</f>
        <v>11046510.4678479</v>
      </c>
      <c r="C32" s="45">
        <f t="shared" ref="C32:E32" si="22">C35+C36+C37+C40+C41+C42+C43+C44+C45+C46+C49+C52</f>
        <v>46494781</v>
      </c>
      <c r="D32" s="45">
        <f t="shared" si="22"/>
        <v>46494781</v>
      </c>
      <c r="E32" s="45">
        <f t="shared" si="22"/>
        <v>14174620.67</v>
      </c>
      <c r="F32" s="46">
        <f t="shared" si="21"/>
        <v>128.31763217223042</v>
      </c>
      <c r="G32" s="46">
        <f>E32/D32*100</f>
        <v>30.486476901568803</v>
      </c>
    </row>
    <row r="33" spans="1:7" ht="13.5" customHeight="1" x14ac:dyDescent="0.25">
      <c r="A33" s="29" t="s">
        <v>25</v>
      </c>
      <c r="B33" s="27">
        <f>B34</f>
        <v>5418545.4071272146</v>
      </c>
      <c r="C33" s="27">
        <f t="shared" ref="C33" si="23">C34</f>
        <v>20921317</v>
      </c>
      <c r="D33" s="27">
        <f t="shared" ref="D33" si="24">D34</f>
        <v>20921317</v>
      </c>
      <c r="E33" s="27">
        <f t="shared" ref="E33" si="25">E34</f>
        <v>7306800.0199999996</v>
      </c>
      <c r="F33" s="28">
        <f t="shared" si="21"/>
        <v>134.84799832791089</v>
      </c>
      <c r="G33" s="28">
        <f t="shared" ref="G33:G46" si="26">E33/D33*100</f>
        <v>34.925143670448662</v>
      </c>
    </row>
    <row r="34" spans="1:7" ht="13.5" customHeight="1" x14ac:dyDescent="0.25">
      <c r="A34" s="31" t="s">
        <v>26</v>
      </c>
      <c r="B34" s="32">
        <f>SUM(B35:B37)</f>
        <v>5418545.4071272146</v>
      </c>
      <c r="C34" s="32">
        <f t="shared" ref="C34" si="27">SUM(C35:C37)</f>
        <v>20921317</v>
      </c>
      <c r="D34" s="32">
        <f t="shared" ref="D34" si="28">SUM(D35:D37)</f>
        <v>20921317</v>
      </c>
      <c r="E34" s="32">
        <f t="shared" ref="E34" si="29">SUM(E35:E37)</f>
        <v>7306800.0199999996</v>
      </c>
      <c r="F34" s="33">
        <f t="shared" si="21"/>
        <v>134.84799832791089</v>
      </c>
      <c r="G34" s="33">
        <f t="shared" si="26"/>
        <v>34.925143670448662</v>
      </c>
    </row>
    <row r="35" spans="1:7" ht="13.5" customHeight="1" x14ac:dyDescent="0.25">
      <c r="A35" s="20" t="s">
        <v>49</v>
      </c>
      <c r="B35" s="21">
        <f>25336402.65/7.5345</f>
        <v>3362718.5148317735</v>
      </c>
      <c r="C35" s="21">
        <v>11073014</v>
      </c>
      <c r="D35" s="21">
        <v>11073014</v>
      </c>
      <c r="E35" s="21">
        <v>4509959.18</v>
      </c>
      <c r="F35" s="22">
        <f t="shared" si="21"/>
        <v>134.11646440545496</v>
      </c>
      <c r="G35" s="22">
        <f t="shared" si="26"/>
        <v>40.729282740905049</v>
      </c>
    </row>
    <row r="36" spans="1:7" ht="13.5" customHeight="1" x14ac:dyDescent="0.25">
      <c r="A36" s="20" t="s">
        <v>50</v>
      </c>
      <c r="B36" s="21">
        <f>15478394.22/7.5345</f>
        <v>2054335.9506271153</v>
      </c>
      <c r="C36" s="21">
        <v>9847639</v>
      </c>
      <c r="D36" s="21">
        <v>9847639</v>
      </c>
      <c r="E36" s="21">
        <v>2795810.68</v>
      </c>
      <c r="F36" s="22">
        <f t="shared" ref="F36" si="30">E36/B36*100</f>
        <v>136.09315843139186</v>
      </c>
      <c r="G36" s="22">
        <f t="shared" ref="G36" si="31">E36/D36*100</f>
        <v>28.390669885441579</v>
      </c>
    </row>
    <row r="37" spans="1:7" ht="13.5" customHeight="1" x14ac:dyDescent="0.25">
      <c r="A37" s="20" t="s">
        <v>51</v>
      </c>
      <c r="B37" s="21">
        <f>11233.5/7.5345</f>
        <v>1490.9416683257016</v>
      </c>
      <c r="C37" s="21">
        <v>664</v>
      </c>
      <c r="D37" s="21">
        <v>664</v>
      </c>
      <c r="E37" s="21">
        <v>1030.1600000000001</v>
      </c>
      <c r="F37" s="22">
        <f t="shared" si="21"/>
        <v>69.094587795433313</v>
      </c>
      <c r="G37" s="22">
        <f t="shared" si="26"/>
        <v>155.14457831325302</v>
      </c>
    </row>
    <row r="38" spans="1:7" ht="13.5" customHeight="1" x14ac:dyDescent="0.25">
      <c r="A38" s="29" t="s">
        <v>172</v>
      </c>
      <c r="B38" s="27">
        <f>B39</f>
        <v>5616494.4057336254</v>
      </c>
      <c r="C38" s="27">
        <f t="shared" ref="C38" si="32">C39</f>
        <v>25539237</v>
      </c>
      <c r="D38" s="27">
        <f t="shared" ref="D38" si="33">D39</f>
        <v>25539237</v>
      </c>
      <c r="E38" s="27">
        <f t="shared" ref="E38" si="34">E39</f>
        <v>6862087.4099999992</v>
      </c>
      <c r="F38" s="30">
        <f t="shared" si="21"/>
        <v>122.17741021863753</v>
      </c>
      <c r="G38" s="30">
        <f t="shared" si="26"/>
        <v>26.868803519854563</v>
      </c>
    </row>
    <row r="39" spans="1:7" ht="13.5" customHeight="1" x14ac:dyDescent="0.25">
      <c r="A39" s="31" t="s">
        <v>27</v>
      </c>
      <c r="B39" s="32">
        <f>SUM(B40:B46)</f>
        <v>5616494.4057336254</v>
      </c>
      <c r="C39" s="32">
        <f t="shared" ref="C39" si="35">SUM(C40:C46)</f>
        <v>25539237</v>
      </c>
      <c r="D39" s="32">
        <f t="shared" ref="D39" si="36">SUM(D40:D46)</f>
        <v>25539237</v>
      </c>
      <c r="E39" s="32">
        <f t="shared" ref="E39" si="37">SUM(E40:E46)</f>
        <v>6862087.4099999992</v>
      </c>
      <c r="F39" s="34">
        <f t="shared" si="21"/>
        <v>122.17741021863753</v>
      </c>
      <c r="G39" s="34">
        <f t="shared" si="26"/>
        <v>26.868803519854563</v>
      </c>
    </row>
    <row r="40" spans="1:7" ht="13.5" customHeight="1" x14ac:dyDescent="0.25">
      <c r="A40" s="20" t="s">
        <v>49</v>
      </c>
      <c r="B40" s="21">
        <f>25827066.64/7.5345</f>
        <v>3427840.8175724996</v>
      </c>
      <c r="C40" s="21">
        <v>10389616</v>
      </c>
      <c r="D40" s="21">
        <v>10389616</v>
      </c>
      <c r="E40" s="21">
        <v>4233240.67</v>
      </c>
      <c r="F40" s="22">
        <f t="shared" ref="F40:F46" si="38">E40/B40*100</f>
        <v>123.4958358713361</v>
      </c>
      <c r="G40" s="22">
        <f t="shared" si="26"/>
        <v>40.744919446493498</v>
      </c>
    </row>
    <row r="41" spans="1:7" ht="13.5" customHeight="1" x14ac:dyDescent="0.25">
      <c r="A41" s="20" t="s">
        <v>50</v>
      </c>
      <c r="B41" s="21">
        <f>14783131.25/7.5345</f>
        <v>1962058.6966620213</v>
      </c>
      <c r="C41" s="21">
        <v>9264952</v>
      </c>
      <c r="D41" s="21">
        <v>9264952</v>
      </c>
      <c r="E41" s="21">
        <v>2517135.54</v>
      </c>
      <c r="F41" s="22">
        <f t="shared" si="38"/>
        <v>128.29053199490468</v>
      </c>
      <c r="G41" s="22">
        <f t="shared" si="26"/>
        <v>27.168360289400312</v>
      </c>
    </row>
    <row r="42" spans="1:7" ht="13.5" customHeight="1" x14ac:dyDescent="0.25">
      <c r="A42" s="20" t="s">
        <v>51</v>
      </c>
      <c r="B42" s="21">
        <f>558781.02/7.5345</f>
        <v>74162.986263189334</v>
      </c>
      <c r="C42" s="21">
        <v>17519</v>
      </c>
      <c r="D42" s="21">
        <v>17519</v>
      </c>
      <c r="E42" s="21">
        <v>16609.02</v>
      </c>
      <c r="F42" s="22">
        <f t="shared" si="38"/>
        <v>22.395295600770403</v>
      </c>
      <c r="G42" s="22">
        <f t="shared" si="26"/>
        <v>94.805753753068103</v>
      </c>
    </row>
    <row r="43" spans="1:7" ht="13.5" customHeight="1" x14ac:dyDescent="0.25">
      <c r="A43" s="20" t="s">
        <v>52</v>
      </c>
      <c r="B43" s="21">
        <f>123768/7.5345</f>
        <v>16426.836551861437</v>
      </c>
      <c r="C43" s="21">
        <v>60840</v>
      </c>
      <c r="D43" s="21">
        <v>60840</v>
      </c>
      <c r="E43" s="21">
        <v>30420.06</v>
      </c>
      <c r="F43" s="22">
        <f t="shared" si="38"/>
        <v>185.18513837987203</v>
      </c>
      <c r="G43" s="22">
        <f t="shared" si="26"/>
        <v>50.000098619329393</v>
      </c>
    </row>
    <row r="44" spans="1:7" ht="13.5" customHeight="1" x14ac:dyDescent="0.25">
      <c r="A44" s="20" t="s">
        <v>53</v>
      </c>
      <c r="B44" s="21">
        <f>169609.34/7.5345</f>
        <v>22511.027938151168</v>
      </c>
      <c r="C44" s="21">
        <v>2514314</v>
      </c>
      <c r="D44" s="21">
        <v>2514314</v>
      </c>
      <c r="E44" s="21">
        <v>9452.4500000000007</v>
      </c>
      <c r="F44" s="22">
        <f t="shared" si="38"/>
        <v>41.990308154609892</v>
      </c>
      <c r="G44" s="22">
        <f t="shared" si="26"/>
        <v>0.37594548652236753</v>
      </c>
    </row>
    <row r="45" spans="1:7" ht="25.5" x14ac:dyDescent="0.25">
      <c r="A45" s="20" t="s">
        <v>54</v>
      </c>
      <c r="B45" s="21">
        <f>210096/7.5345</f>
        <v>27884.531156679273</v>
      </c>
      <c r="C45" s="21">
        <v>84545</v>
      </c>
      <c r="D45" s="21">
        <v>84545</v>
      </c>
      <c r="E45" s="21">
        <v>12984.45</v>
      </c>
      <c r="F45" s="22">
        <f t="shared" si="38"/>
        <v>46.565064791809462</v>
      </c>
      <c r="G45" s="22">
        <f t="shared" si="26"/>
        <v>15.35803418297948</v>
      </c>
    </row>
    <row r="46" spans="1:7" ht="13.5" customHeight="1" x14ac:dyDescent="0.25">
      <c r="A46" s="20" t="s">
        <v>55</v>
      </c>
      <c r="B46" s="21">
        <f>645024.85/7.5345</f>
        <v>85609.5095892229</v>
      </c>
      <c r="C46" s="21">
        <v>3207451</v>
      </c>
      <c r="D46" s="21">
        <v>3207451</v>
      </c>
      <c r="E46" s="21">
        <v>42245.22</v>
      </c>
      <c r="F46" s="22">
        <f t="shared" si="38"/>
        <v>49.346410466201426</v>
      </c>
      <c r="G46" s="22">
        <f t="shared" si="26"/>
        <v>1.3170963484711069</v>
      </c>
    </row>
    <row r="47" spans="1:7" ht="13.5" customHeight="1" x14ac:dyDescent="0.25">
      <c r="A47" s="29" t="s">
        <v>28</v>
      </c>
      <c r="B47" s="27">
        <f>B48</f>
        <v>11470.654987059525</v>
      </c>
      <c r="C47" s="27">
        <f t="shared" ref="C47:C48" si="39">C48</f>
        <v>14130</v>
      </c>
      <c r="D47" s="27">
        <f t="shared" ref="D47:D48" si="40">D48</f>
        <v>14130</v>
      </c>
      <c r="E47" s="27">
        <f t="shared" ref="E47:E48" si="41">E48</f>
        <v>5733.24</v>
      </c>
      <c r="F47" s="30">
        <f t="shared" ref="F47:F53" si="42">E47/B47*100</f>
        <v>49.98180144436288</v>
      </c>
      <c r="G47" s="30">
        <f>E47/D47*100</f>
        <v>40.574946921443733</v>
      </c>
    </row>
    <row r="48" spans="1:7" ht="13.5" customHeight="1" x14ac:dyDescent="0.25">
      <c r="A48" s="31" t="s">
        <v>56</v>
      </c>
      <c r="B48" s="32">
        <f>B49</f>
        <v>11470.654987059525</v>
      </c>
      <c r="C48" s="32">
        <f t="shared" si="39"/>
        <v>14130</v>
      </c>
      <c r="D48" s="32">
        <f t="shared" si="40"/>
        <v>14130</v>
      </c>
      <c r="E48" s="32">
        <f t="shared" si="41"/>
        <v>5733.24</v>
      </c>
      <c r="F48" s="34">
        <f t="shared" si="42"/>
        <v>49.98180144436288</v>
      </c>
      <c r="G48" s="34">
        <f t="shared" ref="G48:G50" si="43">E48/D48*100</f>
        <v>40.574946921443733</v>
      </c>
    </row>
    <row r="49" spans="1:7" ht="13.5" customHeight="1" x14ac:dyDescent="0.25">
      <c r="A49" s="20" t="s">
        <v>50</v>
      </c>
      <c r="B49" s="21">
        <f>86425.65/7.5345</f>
        <v>11470.654987059525</v>
      </c>
      <c r="C49" s="21">
        <v>14130</v>
      </c>
      <c r="D49" s="21">
        <v>14130</v>
      </c>
      <c r="E49" s="21">
        <v>5733.24</v>
      </c>
      <c r="F49" s="22">
        <f t="shared" si="42"/>
        <v>49.98180144436288</v>
      </c>
      <c r="G49" s="22">
        <f t="shared" si="43"/>
        <v>40.574946921443733</v>
      </c>
    </row>
    <row r="50" spans="1:7" ht="13.5" customHeight="1" x14ac:dyDescent="0.25">
      <c r="A50" s="29" t="s">
        <v>29</v>
      </c>
      <c r="B50" s="27">
        <f>B51</f>
        <v>0</v>
      </c>
      <c r="C50" s="27">
        <f t="shared" ref="C50:C51" si="44">C51</f>
        <v>20097</v>
      </c>
      <c r="D50" s="27">
        <f t="shared" ref="D50:D51" si="45">D51</f>
        <v>20097</v>
      </c>
      <c r="E50" s="27">
        <f t="shared" ref="E50:E51" si="46">E51</f>
        <v>0</v>
      </c>
      <c r="F50" s="30"/>
      <c r="G50" s="30">
        <f t="shared" si="43"/>
        <v>0</v>
      </c>
    </row>
    <row r="51" spans="1:7" ht="13.5" customHeight="1" x14ac:dyDescent="0.25">
      <c r="A51" s="31" t="s">
        <v>30</v>
      </c>
      <c r="B51" s="32">
        <f>B52</f>
        <v>0</v>
      </c>
      <c r="C51" s="32">
        <f t="shared" si="44"/>
        <v>20097</v>
      </c>
      <c r="D51" s="32">
        <f t="shared" si="45"/>
        <v>20097</v>
      </c>
      <c r="E51" s="32">
        <f t="shared" si="46"/>
        <v>0</v>
      </c>
      <c r="F51" s="34"/>
      <c r="G51" s="34">
        <f>E51/D51*100</f>
        <v>0</v>
      </c>
    </row>
    <row r="52" spans="1:7" ht="13.5" customHeight="1" x14ac:dyDescent="0.25">
      <c r="A52" s="20" t="s">
        <v>50</v>
      </c>
      <c r="B52" s="21">
        <v>0</v>
      </c>
      <c r="C52" s="21">
        <v>20097</v>
      </c>
      <c r="D52" s="21">
        <v>20097</v>
      </c>
      <c r="E52" s="21">
        <v>0</v>
      </c>
      <c r="F52" s="22"/>
      <c r="G52" s="22">
        <f t="shared" ref="G52:G53" si="47">E52/D52*100</f>
        <v>0</v>
      </c>
    </row>
    <row r="53" spans="1:7" ht="13.5" customHeight="1" x14ac:dyDescent="0.25">
      <c r="A53" s="43" t="s">
        <v>9</v>
      </c>
      <c r="B53" s="24">
        <f>B56+B57+B60+B61+B62+B65+B66</f>
        <v>1032456.3209237508</v>
      </c>
      <c r="C53" s="24">
        <f t="shared" ref="C53:E53" si="48">C56+C57+C60+C61+C62+C65+C66</f>
        <v>8515352</v>
      </c>
      <c r="D53" s="24">
        <f t="shared" si="48"/>
        <v>8515352</v>
      </c>
      <c r="E53" s="24">
        <f t="shared" si="48"/>
        <v>1092236.68</v>
      </c>
      <c r="F53" s="25">
        <f t="shared" si="42"/>
        <v>105.79011023175906</v>
      </c>
      <c r="G53" s="25">
        <f t="shared" si="47"/>
        <v>12.826676806783793</v>
      </c>
    </row>
    <row r="54" spans="1:7" ht="13.5" customHeight="1" x14ac:dyDescent="0.25">
      <c r="A54" s="29" t="s">
        <v>25</v>
      </c>
      <c r="B54" s="27">
        <f>B55</f>
        <v>445127.31435397174</v>
      </c>
      <c r="C54" s="27">
        <f t="shared" ref="C54:E54" si="49">C55</f>
        <v>2228185</v>
      </c>
      <c r="D54" s="27">
        <f t="shared" si="49"/>
        <v>2228185</v>
      </c>
      <c r="E54" s="27">
        <f t="shared" si="49"/>
        <v>968354.72</v>
      </c>
      <c r="F54" s="28">
        <f>E54/B54*100</f>
        <v>217.54556253313856</v>
      </c>
      <c r="G54" s="28">
        <f>E54/D54*100</f>
        <v>43.459350098847267</v>
      </c>
    </row>
    <row r="55" spans="1:7" ht="13.5" customHeight="1" x14ac:dyDescent="0.25">
      <c r="A55" s="31" t="s">
        <v>26</v>
      </c>
      <c r="B55" s="32">
        <f>SUM(B56:B57)</f>
        <v>445127.31435397174</v>
      </c>
      <c r="C55" s="32">
        <f>SUM(C56:C57)</f>
        <v>2228185</v>
      </c>
      <c r="D55" s="32">
        <f t="shared" ref="D55:E55" si="50">SUM(D56:D57)</f>
        <v>2228185</v>
      </c>
      <c r="E55" s="32">
        <f t="shared" si="50"/>
        <v>968354.72</v>
      </c>
      <c r="F55" s="33">
        <f>E55/B55*100</f>
        <v>217.54556253313856</v>
      </c>
      <c r="G55" s="33">
        <f>E55/D55*100</f>
        <v>43.459350098847267</v>
      </c>
    </row>
    <row r="56" spans="1:7" ht="13.5" customHeight="1" x14ac:dyDescent="0.25">
      <c r="A56" s="20" t="s">
        <v>59</v>
      </c>
      <c r="B56" s="21">
        <f>1387838.25/7.5345</f>
        <v>184197.79016523989</v>
      </c>
      <c r="C56" s="21">
        <v>435650</v>
      </c>
      <c r="D56" s="21">
        <v>435650</v>
      </c>
      <c r="E56" s="21">
        <v>112396.57</v>
      </c>
      <c r="F56" s="22">
        <f t="shared" ref="F56" si="51">E56/B56*100</f>
        <v>61.019499690615973</v>
      </c>
      <c r="G56" s="22">
        <f t="shared" ref="G56" si="52">E56/D56*100</f>
        <v>25.799740617468153</v>
      </c>
    </row>
    <row r="57" spans="1:7" ht="13.5" customHeight="1" x14ac:dyDescent="0.25">
      <c r="A57" s="20" t="s">
        <v>60</v>
      </c>
      <c r="B57" s="21">
        <f>1965973.5/7.5345</f>
        <v>260929.52418873183</v>
      </c>
      <c r="C57" s="21">
        <v>1792535</v>
      </c>
      <c r="D57" s="21">
        <v>1792535</v>
      </c>
      <c r="E57" s="21">
        <v>855958.15</v>
      </c>
      <c r="F57" s="22">
        <f>E57/B57*100</f>
        <v>328.04189279128127</v>
      </c>
      <c r="G57" s="22">
        <f>E57/D57*100</f>
        <v>47.751265665663432</v>
      </c>
    </row>
    <row r="58" spans="1:7" ht="13.5" customHeight="1" x14ac:dyDescent="0.25">
      <c r="A58" s="29" t="s">
        <v>172</v>
      </c>
      <c r="B58" s="27">
        <f>B59</f>
        <v>567420.58530758508</v>
      </c>
      <c r="C58" s="27">
        <f t="shared" ref="C58" si="53">C59</f>
        <v>6175391</v>
      </c>
      <c r="D58" s="27">
        <f t="shared" ref="D58" si="54">D59</f>
        <v>6175391</v>
      </c>
      <c r="E58" s="27">
        <f t="shared" ref="E58" si="55">E59</f>
        <v>123881.95999999999</v>
      </c>
      <c r="F58" s="30">
        <f t="shared" ref="F58:F59" si="56">E58/B58*100</f>
        <v>21.832475452551048</v>
      </c>
      <c r="G58" s="30">
        <f t="shared" ref="G58:G61" si="57">E58/D58*100</f>
        <v>2.0060585637411461</v>
      </c>
    </row>
    <row r="59" spans="1:7" ht="13.5" customHeight="1" x14ac:dyDescent="0.25">
      <c r="A59" s="31" t="s">
        <v>27</v>
      </c>
      <c r="B59" s="32">
        <f>SUM(B60:B62)</f>
        <v>567420.58530758508</v>
      </c>
      <c r="C59" s="32">
        <f t="shared" ref="C59" si="58">SUM(C60:C62)</f>
        <v>6175391</v>
      </c>
      <c r="D59" s="32">
        <f t="shared" ref="D59" si="59">SUM(D60:D62)</f>
        <v>6175391</v>
      </c>
      <c r="E59" s="32">
        <f t="shared" ref="E59" si="60">SUM(E60:E62)</f>
        <v>123881.95999999999</v>
      </c>
      <c r="F59" s="34">
        <f t="shared" si="56"/>
        <v>21.832475452551048</v>
      </c>
      <c r="G59" s="34">
        <f t="shared" si="57"/>
        <v>2.0060585637411461</v>
      </c>
    </row>
    <row r="60" spans="1:7" ht="13.5" customHeight="1" x14ac:dyDescent="0.25">
      <c r="A60" s="20" t="s">
        <v>61</v>
      </c>
      <c r="B60" s="21">
        <f>164000/7.5345</f>
        <v>21766.540579998673</v>
      </c>
      <c r="C60" s="21">
        <v>1234322</v>
      </c>
      <c r="D60" s="21">
        <v>1234322</v>
      </c>
      <c r="E60" s="21">
        <v>0</v>
      </c>
      <c r="F60" s="22">
        <f>E60/B60*100</f>
        <v>0</v>
      </c>
      <c r="G60" s="22">
        <f t="shared" si="57"/>
        <v>0</v>
      </c>
    </row>
    <row r="61" spans="1:7" ht="13.5" customHeight="1" x14ac:dyDescent="0.25">
      <c r="A61" s="20" t="s">
        <v>59</v>
      </c>
      <c r="B61" s="21">
        <f>169206.2/7.5345</f>
        <v>22457.522065166901</v>
      </c>
      <c r="C61" s="21">
        <v>3423487</v>
      </c>
      <c r="D61" s="21">
        <v>3423487</v>
      </c>
      <c r="E61" s="21">
        <v>50950.79</v>
      </c>
      <c r="F61" s="22">
        <f t="shared" ref="F61" si="61">E61/B61*100</f>
        <v>226.87627714291793</v>
      </c>
      <c r="G61" s="22">
        <f t="shared" si="57"/>
        <v>1.4882717533322021</v>
      </c>
    </row>
    <row r="62" spans="1:7" ht="13.5" customHeight="1" x14ac:dyDescent="0.25">
      <c r="A62" s="20" t="s">
        <v>60</v>
      </c>
      <c r="B62" s="21">
        <f>3942024.2/7.5345</f>
        <v>523196.52266241953</v>
      </c>
      <c r="C62" s="21">
        <v>1517582</v>
      </c>
      <c r="D62" s="21">
        <v>1517582</v>
      </c>
      <c r="E62" s="21">
        <v>72931.17</v>
      </c>
      <c r="F62" s="22">
        <f>E62/B62*100</f>
        <v>13.939536453505283</v>
      </c>
      <c r="G62" s="22">
        <f>E62/D62*100</f>
        <v>4.805748223160264</v>
      </c>
    </row>
    <row r="63" spans="1:7" ht="13.5" customHeight="1" x14ac:dyDescent="0.25">
      <c r="A63" s="29" t="s">
        <v>28</v>
      </c>
      <c r="B63" s="27">
        <f>B64</f>
        <v>19908.421262193908</v>
      </c>
      <c r="C63" s="27">
        <f t="shared" ref="C63" si="62">C64</f>
        <v>111776</v>
      </c>
      <c r="D63" s="27">
        <f t="shared" ref="D63" si="63">D64</f>
        <v>111776</v>
      </c>
      <c r="E63" s="27">
        <f t="shared" ref="E63" si="64">E64</f>
        <v>0</v>
      </c>
      <c r="F63" s="30">
        <f t="shared" ref="F63:F64" si="65">E63/B63*100</f>
        <v>0</v>
      </c>
      <c r="G63" s="30">
        <f>E63/D63*100</f>
        <v>0</v>
      </c>
    </row>
    <row r="64" spans="1:7" ht="13.5" customHeight="1" x14ac:dyDescent="0.25">
      <c r="A64" s="31" t="s">
        <v>56</v>
      </c>
      <c r="B64" s="32">
        <f>SUM(B65:B66)</f>
        <v>19908.421262193908</v>
      </c>
      <c r="C64" s="32">
        <f t="shared" ref="C64:E64" si="66">SUM(C65:C66)</f>
        <v>111776</v>
      </c>
      <c r="D64" s="32">
        <f t="shared" si="66"/>
        <v>111776</v>
      </c>
      <c r="E64" s="32">
        <f t="shared" si="66"/>
        <v>0</v>
      </c>
      <c r="F64" s="34">
        <f t="shared" si="65"/>
        <v>0</v>
      </c>
      <c r="G64" s="34">
        <f t="shared" ref="G64:G66" si="67">E64/D64*100</f>
        <v>0</v>
      </c>
    </row>
    <row r="65" spans="1:7" ht="13.5" customHeight="1" x14ac:dyDescent="0.25">
      <c r="A65" s="20" t="s">
        <v>61</v>
      </c>
      <c r="B65" s="21">
        <f>150000/7.5345</f>
        <v>19908.421262193908</v>
      </c>
      <c r="C65" s="21">
        <v>0</v>
      </c>
      <c r="D65" s="21">
        <v>0</v>
      </c>
      <c r="E65" s="21">
        <v>0</v>
      </c>
      <c r="F65" s="22">
        <f t="shared" ref="F65" si="68">E65/B65*100</f>
        <v>0</v>
      </c>
      <c r="G65" s="22"/>
    </row>
    <row r="66" spans="1:7" ht="13.5" customHeight="1" x14ac:dyDescent="0.25">
      <c r="A66" s="20" t="s">
        <v>59</v>
      </c>
      <c r="B66" s="21">
        <v>0</v>
      </c>
      <c r="C66" s="21">
        <v>111776</v>
      </c>
      <c r="D66" s="21">
        <v>111776</v>
      </c>
      <c r="E66" s="21">
        <v>0</v>
      </c>
      <c r="F66" s="22"/>
      <c r="G66" s="22">
        <f t="shared" si="67"/>
        <v>0</v>
      </c>
    </row>
    <row r="67" spans="1:7" ht="13.5" customHeight="1" x14ac:dyDescent="0.25"/>
    <row r="68" spans="1:7" ht="13.5" customHeight="1" x14ac:dyDescent="0.25"/>
    <row r="69" spans="1:7" ht="13.5" customHeight="1" x14ac:dyDescent="0.25"/>
    <row r="70" spans="1:7" ht="13.5" customHeight="1" x14ac:dyDescent="0.25"/>
    <row r="71" spans="1:7" ht="13.5" customHeight="1" x14ac:dyDescent="0.25"/>
    <row r="72" spans="1:7" ht="13.5" customHeight="1" x14ac:dyDescent="0.25"/>
    <row r="73" spans="1:7" ht="13.5" customHeight="1" x14ac:dyDescent="0.25"/>
    <row r="74" spans="1:7" ht="13.5" customHeight="1" x14ac:dyDescent="0.25"/>
    <row r="75" spans="1:7" ht="13.5" customHeight="1" x14ac:dyDescent="0.25"/>
    <row r="76" spans="1:7" ht="13.5" customHeight="1" x14ac:dyDescent="0.25"/>
    <row r="77" spans="1:7" ht="13.5" customHeight="1" x14ac:dyDescent="0.25"/>
    <row r="78" spans="1:7" ht="13.5" customHeight="1" x14ac:dyDescent="0.25"/>
  </sheetData>
  <mergeCells count="3">
    <mergeCell ref="A1:G1"/>
    <mergeCell ref="A3:G3"/>
    <mergeCell ref="A4:G4"/>
  </mergeCells>
  <printOptions horizontalCentered="1"/>
  <pageMargins left="0.11811023622047245" right="0.11811023622047245" top="0.55118110236220474" bottom="0.55118110236220474" header="0.31496062992125984" footer="0.19685039370078741"/>
  <pageSetup paperSize="9" scale="95" orientation="landscape" horizontalDpi="4294967295" verticalDpi="4294967295" r:id="rId1"/>
  <headerFooter>
    <oddFooter>&amp;C&amp;"Arial,Uobičajeno"&amp;9Stranica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52.140625" customWidth="1"/>
    <col min="2" max="5" width="15.85546875" customWidth="1"/>
  </cols>
  <sheetData>
    <row r="1" spans="1:7" ht="33" customHeight="1" x14ac:dyDescent="0.25">
      <c r="A1" s="88" t="s">
        <v>177</v>
      </c>
      <c r="B1" s="88"/>
      <c r="C1" s="88"/>
      <c r="D1" s="88"/>
      <c r="E1" s="88"/>
      <c r="F1" s="88"/>
      <c r="G1" s="88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89" t="s">
        <v>0</v>
      </c>
      <c r="B3" s="89"/>
      <c r="C3" s="89"/>
      <c r="D3" s="89"/>
      <c r="E3" s="89"/>
      <c r="F3" s="89"/>
      <c r="G3" s="89"/>
    </row>
    <row r="4" spans="1:7" ht="33" customHeight="1" x14ac:dyDescent="0.25">
      <c r="A4" s="90" t="s">
        <v>1</v>
      </c>
      <c r="B4" s="90"/>
      <c r="C4" s="90"/>
      <c r="D4" s="90"/>
      <c r="E4" s="90"/>
      <c r="F4" s="90"/>
      <c r="G4" s="90"/>
    </row>
    <row r="5" spans="1:7" x14ac:dyDescent="0.25">
      <c r="A5" s="51" t="s">
        <v>164</v>
      </c>
    </row>
    <row r="7" spans="1:7" ht="39.950000000000003" customHeight="1" x14ac:dyDescent="0.25">
      <c r="A7" s="23" t="s">
        <v>2</v>
      </c>
      <c r="B7" s="15" t="s">
        <v>57</v>
      </c>
      <c r="C7" s="15" t="s">
        <v>14</v>
      </c>
      <c r="D7" s="15" t="s">
        <v>15</v>
      </c>
      <c r="E7" s="15" t="s">
        <v>58</v>
      </c>
      <c r="F7" s="23" t="s">
        <v>3</v>
      </c>
      <c r="G7" s="23" t="s">
        <v>3</v>
      </c>
    </row>
    <row r="8" spans="1:7" ht="13.5" customHeight="1" x14ac:dyDescent="0.2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 t="s">
        <v>22</v>
      </c>
      <c r="G8" s="70" t="s">
        <v>23</v>
      </c>
    </row>
    <row r="9" spans="1:7" ht="13.5" customHeight="1" x14ac:dyDescent="0.25">
      <c r="A9" s="86" t="s">
        <v>163</v>
      </c>
      <c r="B9" s="48">
        <f>B12+B20</f>
        <v>12078966.788771652</v>
      </c>
      <c r="C9" s="48">
        <f t="shared" ref="C9:E9" si="0">C12+C20</f>
        <v>55010133</v>
      </c>
      <c r="D9" s="48">
        <f t="shared" si="0"/>
        <v>55010133</v>
      </c>
      <c r="E9" s="48">
        <f t="shared" si="0"/>
        <v>15266857.349999998</v>
      </c>
      <c r="F9" s="49">
        <f t="shared" ref="F9:F20" si="1">E9/B9*100</f>
        <v>126.39207986060315</v>
      </c>
      <c r="G9" s="50">
        <f>E9/D9*100</f>
        <v>27.752809377864978</v>
      </c>
    </row>
    <row r="10" spans="1:7" ht="13.5" customHeight="1" x14ac:dyDescent="0.25">
      <c r="A10" s="86" t="s">
        <v>161</v>
      </c>
      <c r="B10" s="48">
        <f>B9</f>
        <v>12078966.788771652</v>
      </c>
      <c r="C10" s="48">
        <f t="shared" ref="C10:E11" si="2">C9</f>
        <v>55010133</v>
      </c>
      <c r="D10" s="48">
        <f t="shared" si="2"/>
        <v>55010133</v>
      </c>
      <c r="E10" s="48">
        <f t="shared" si="2"/>
        <v>15266857.349999998</v>
      </c>
      <c r="F10" s="49">
        <f t="shared" ref="F10:F11" si="3">E10/B10*100</f>
        <v>126.39207986060315</v>
      </c>
      <c r="G10" s="50">
        <f t="shared" ref="G10:G11" si="4">E10/D10*100</f>
        <v>27.752809377864978</v>
      </c>
    </row>
    <row r="11" spans="1:7" ht="13.5" customHeight="1" x14ac:dyDescent="0.25">
      <c r="A11" s="86" t="s">
        <v>162</v>
      </c>
      <c r="B11" s="48">
        <f>B10</f>
        <v>12078966.788771652</v>
      </c>
      <c r="C11" s="48">
        <f t="shared" si="2"/>
        <v>55010133</v>
      </c>
      <c r="D11" s="48">
        <f t="shared" si="2"/>
        <v>55010133</v>
      </c>
      <c r="E11" s="48">
        <f t="shared" si="2"/>
        <v>15266857.349999998</v>
      </c>
      <c r="F11" s="49">
        <f t="shared" si="3"/>
        <v>126.39207986060315</v>
      </c>
      <c r="G11" s="50">
        <f t="shared" si="4"/>
        <v>27.752809377864978</v>
      </c>
    </row>
    <row r="12" spans="1:7" ht="13.5" customHeight="1" x14ac:dyDescent="0.25">
      <c r="A12" s="44" t="s">
        <v>8</v>
      </c>
      <c r="B12" s="45">
        <f>SUM(B13:B19)</f>
        <v>11046510.4678479</v>
      </c>
      <c r="C12" s="45">
        <f t="shared" ref="C12:E12" si="5">SUM(C13:C19)</f>
        <v>46494781</v>
      </c>
      <c r="D12" s="45">
        <f t="shared" si="5"/>
        <v>46494781</v>
      </c>
      <c r="E12" s="45">
        <f t="shared" si="5"/>
        <v>14174620.669999998</v>
      </c>
      <c r="F12" s="46">
        <f t="shared" si="1"/>
        <v>128.31763217223042</v>
      </c>
      <c r="G12" s="46">
        <f>E12/D12*100</f>
        <v>30.4864769015688</v>
      </c>
    </row>
    <row r="13" spans="1:7" ht="13.5" customHeight="1" x14ac:dyDescent="0.25">
      <c r="A13" s="87" t="s">
        <v>49</v>
      </c>
      <c r="B13" s="21">
        <v>6790559.3324042726</v>
      </c>
      <c r="C13" s="21">
        <v>21462630</v>
      </c>
      <c r="D13" s="21">
        <v>21462630</v>
      </c>
      <c r="E13" s="21">
        <v>8743199.8499999996</v>
      </c>
      <c r="F13" s="22">
        <f t="shared" si="1"/>
        <v>128.75522356866549</v>
      </c>
      <c r="G13" s="22">
        <f t="shared" ref="G13:G19" si="6">E13/D13*100</f>
        <v>40.736852147197247</v>
      </c>
    </row>
    <row r="14" spans="1:7" ht="13.5" customHeight="1" x14ac:dyDescent="0.25">
      <c r="A14" s="87" t="s">
        <v>50</v>
      </c>
      <c r="B14" s="21">
        <v>4027865.302276196</v>
      </c>
      <c r="C14" s="21">
        <v>19146818</v>
      </c>
      <c r="D14" s="21">
        <v>19146818</v>
      </c>
      <c r="E14" s="21">
        <v>5318679.46</v>
      </c>
      <c r="F14" s="22">
        <f t="shared" si="1"/>
        <v>132.04710338735381</v>
      </c>
      <c r="G14" s="22">
        <f t="shared" si="6"/>
        <v>27.778398791903697</v>
      </c>
    </row>
    <row r="15" spans="1:7" ht="13.5" customHeight="1" x14ac:dyDescent="0.25">
      <c r="A15" s="87" t="s">
        <v>51</v>
      </c>
      <c r="B15" s="21">
        <v>75653.92793151502</v>
      </c>
      <c r="C15" s="21">
        <v>18183</v>
      </c>
      <c r="D15" s="21">
        <v>18183</v>
      </c>
      <c r="E15" s="21">
        <v>17639.18</v>
      </c>
      <c r="F15" s="22">
        <f t="shared" si="1"/>
        <v>23.315616891653924</v>
      </c>
      <c r="G15" s="22">
        <f t="shared" si="6"/>
        <v>97.009184403013805</v>
      </c>
    </row>
    <row r="16" spans="1:7" ht="13.5" customHeight="1" x14ac:dyDescent="0.25">
      <c r="A16" s="87" t="s">
        <v>52</v>
      </c>
      <c r="B16" s="21">
        <v>16426.836551861437</v>
      </c>
      <c r="C16" s="21">
        <v>60840</v>
      </c>
      <c r="D16" s="21">
        <v>60840</v>
      </c>
      <c r="E16" s="21">
        <v>30420.06</v>
      </c>
      <c r="F16" s="22">
        <f t="shared" si="1"/>
        <v>185.18513837987203</v>
      </c>
      <c r="G16" s="22">
        <f t="shared" si="6"/>
        <v>50.000098619329393</v>
      </c>
    </row>
    <row r="17" spans="1:7" ht="13.5" customHeight="1" x14ac:dyDescent="0.25">
      <c r="A17" s="87" t="s">
        <v>53</v>
      </c>
      <c r="B17" s="21">
        <v>22511.027938151168</v>
      </c>
      <c r="C17" s="21">
        <v>2514314</v>
      </c>
      <c r="D17" s="21">
        <v>2514314</v>
      </c>
      <c r="E17" s="21">
        <v>9452.4500000000007</v>
      </c>
      <c r="F17" s="22">
        <f t="shared" si="1"/>
        <v>41.990308154609892</v>
      </c>
      <c r="G17" s="22">
        <f t="shared" si="6"/>
        <v>0.37594548652236753</v>
      </c>
    </row>
    <row r="18" spans="1:7" ht="25.5" x14ac:dyDescent="0.25">
      <c r="A18" s="87" t="s">
        <v>54</v>
      </c>
      <c r="B18" s="21">
        <v>27884.531156679273</v>
      </c>
      <c r="C18" s="21">
        <v>84545</v>
      </c>
      <c r="D18" s="21">
        <v>84545</v>
      </c>
      <c r="E18" s="21">
        <v>12984.45</v>
      </c>
      <c r="F18" s="22">
        <f t="shared" si="1"/>
        <v>46.565064791809462</v>
      </c>
      <c r="G18" s="22">
        <f t="shared" si="6"/>
        <v>15.35803418297948</v>
      </c>
    </row>
    <row r="19" spans="1:7" ht="13.5" customHeight="1" x14ac:dyDescent="0.25">
      <c r="A19" s="87" t="s">
        <v>55</v>
      </c>
      <c r="B19" s="21">
        <v>85609.5095892229</v>
      </c>
      <c r="C19" s="21">
        <v>3207451</v>
      </c>
      <c r="D19" s="21">
        <v>3207451</v>
      </c>
      <c r="E19" s="21">
        <v>42245.22</v>
      </c>
      <c r="F19" s="22">
        <f t="shared" si="1"/>
        <v>49.346410466201426</v>
      </c>
      <c r="G19" s="22">
        <f t="shared" si="6"/>
        <v>1.3170963484711069</v>
      </c>
    </row>
    <row r="20" spans="1:7" ht="13.5" customHeight="1" x14ac:dyDescent="0.25">
      <c r="A20" s="43" t="s">
        <v>9</v>
      </c>
      <c r="B20" s="24">
        <f>SUM(B21:B23)</f>
        <v>1032456.3209237506</v>
      </c>
      <c r="C20" s="24">
        <f t="shared" ref="C20:E20" si="7">SUM(C21:C23)</f>
        <v>8515352</v>
      </c>
      <c r="D20" s="24">
        <f t="shared" si="7"/>
        <v>8515352</v>
      </c>
      <c r="E20" s="24">
        <f t="shared" si="7"/>
        <v>1092236.68</v>
      </c>
      <c r="F20" s="25">
        <f t="shared" si="1"/>
        <v>105.79011023175906</v>
      </c>
      <c r="G20" s="25">
        <f t="shared" ref="G20" si="8">E20/D20*100</f>
        <v>12.826676806783793</v>
      </c>
    </row>
    <row r="21" spans="1:7" ht="13.5" customHeight="1" x14ac:dyDescent="0.25">
      <c r="A21" s="87" t="s">
        <v>61</v>
      </c>
      <c r="B21" s="21">
        <v>41674.961842192577</v>
      </c>
      <c r="C21" s="21">
        <v>1234322</v>
      </c>
      <c r="D21" s="21">
        <v>1234322</v>
      </c>
      <c r="E21" s="21">
        <v>0</v>
      </c>
      <c r="F21" s="22">
        <f>E21/B21*100</f>
        <v>0</v>
      </c>
      <c r="G21" s="22">
        <f t="shared" ref="G21:G22" si="9">E21/D21*100</f>
        <v>0</v>
      </c>
    </row>
    <row r="22" spans="1:7" ht="13.5" customHeight="1" x14ac:dyDescent="0.25">
      <c r="A22" s="87" t="s">
        <v>59</v>
      </c>
      <c r="B22" s="21">
        <v>206655.31223040679</v>
      </c>
      <c r="C22" s="21">
        <v>3970913</v>
      </c>
      <c r="D22" s="21">
        <v>3970913</v>
      </c>
      <c r="E22" s="21">
        <v>163347.35999999999</v>
      </c>
      <c r="F22" s="22">
        <f t="shared" ref="F22" si="10">E22/B22*100</f>
        <v>79.043387869883858</v>
      </c>
      <c r="G22" s="22">
        <f t="shared" si="9"/>
        <v>4.1135970493435643</v>
      </c>
    </row>
    <row r="23" spans="1:7" ht="13.5" customHeight="1" x14ac:dyDescent="0.25">
      <c r="A23" s="87" t="s">
        <v>60</v>
      </c>
      <c r="B23" s="21">
        <v>784126.04685115127</v>
      </c>
      <c r="C23" s="21">
        <v>3310117</v>
      </c>
      <c r="D23" s="21">
        <v>3310117</v>
      </c>
      <c r="E23" s="21">
        <v>928889.32</v>
      </c>
      <c r="F23" s="22">
        <f>E23/B23*100</f>
        <v>118.46173503994426</v>
      </c>
      <c r="G23" s="22">
        <f>E23/D23*100</f>
        <v>28.062129525935188</v>
      </c>
    </row>
    <row r="24" spans="1:7" ht="13.5" customHeight="1" x14ac:dyDescent="0.25"/>
    <row r="25" spans="1:7" ht="13.5" customHeight="1" x14ac:dyDescent="0.25"/>
    <row r="26" spans="1:7" ht="13.5" customHeight="1" x14ac:dyDescent="0.25"/>
    <row r="27" spans="1:7" ht="13.5" customHeight="1" x14ac:dyDescent="0.25"/>
    <row r="28" spans="1:7" ht="13.5" customHeight="1" x14ac:dyDescent="0.25"/>
    <row r="29" spans="1:7" ht="13.5" customHeight="1" x14ac:dyDescent="0.25"/>
    <row r="30" spans="1:7" ht="13.5" customHeight="1" x14ac:dyDescent="0.25"/>
    <row r="31" spans="1:7" ht="13.5" customHeight="1" x14ac:dyDescent="0.25"/>
    <row r="32" spans="1:7" ht="13.5" customHeight="1" x14ac:dyDescent="0.25"/>
    <row r="33" ht="13.5" customHeight="1" x14ac:dyDescent="0.25"/>
  </sheetData>
  <mergeCells count="3">
    <mergeCell ref="A1:G1"/>
    <mergeCell ref="A3:G3"/>
    <mergeCell ref="A4:G4"/>
  </mergeCells>
  <printOptions horizontalCentered="1"/>
  <pageMargins left="0.11811023622047245" right="0.11811023622047245" top="0.55118110236220474" bottom="0.55118110236220474" header="0.31496062992125984" footer="0.19685039370078741"/>
  <pageSetup paperSize="9" scale="95" orientation="landscape" horizontalDpi="4294967295" verticalDpi="4294967295" r:id="rId1"/>
  <headerFooter>
    <oddFooter>&amp;CStranica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showGridLines="0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RowHeight="14.25" x14ac:dyDescent="0.2"/>
  <cols>
    <col min="1" max="1" width="68.85546875" style="52" customWidth="1"/>
    <col min="2" max="4" width="15.85546875" style="52" customWidth="1"/>
    <col min="5" max="16384" width="9.140625" style="52"/>
  </cols>
  <sheetData>
    <row r="1" spans="1:5" ht="33" customHeight="1" x14ac:dyDescent="0.2">
      <c r="A1" s="88" t="s">
        <v>176</v>
      </c>
      <c r="B1" s="88"/>
      <c r="C1" s="88"/>
      <c r="D1" s="88"/>
      <c r="E1" s="88"/>
    </row>
    <row r="2" spans="1:5" x14ac:dyDescent="0.2">
      <c r="A2" s="53"/>
      <c r="B2" s="54"/>
      <c r="C2" s="54"/>
      <c r="D2" s="54"/>
    </row>
    <row r="3" spans="1:5" ht="15" x14ac:dyDescent="0.25">
      <c r="A3" s="89" t="s">
        <v>167</v>
      </c>
      <c r="B3" s="89"/>
      <c r="C3" s="89"/>
      <c r="D3" s="89"/>
      <c r="E3" s="89"/>
    </row>
    <row r="4" spans="1:5" ht="15" x14ac:dyDescent="0.2">
      <c r="A4" s="90"/>
      <c r="B4" s="90"/>
      <c r="C4" s="90"/>
      <c r="D4" s="90"/>
      <c r="E4" s="90"/>
    </row>
    <row r="5" spans="1:5" x14ac:dyDescent="0.2">
      <c r="A5" s="51" t="s">
        <v>171</v>
      </c>
    </row>
    <row r="7" spans="1:5" ht="39.950000000000003" customHeight="1" x14ac:dyDescent="0.2">
      <c r="A7" s="23" t="s">
        <v>2</v>
      </c>
      <c r="B7" s="15" t="s">
        <v>14</v>
      </c>
      <c r="C7" s="15" t="s">
        <v>15</v>
      </c>
      <c r="D7" s="15" t="s">
        <v>58</v>
      </c>
      <c r="E7" s="23" t="s">
        <v>3</v>
      </c>
    </row>
    <row r="8" spans="1:5" ht="13.5" customHeight="1" x14ac:dyDescent="0.2">
      <c r="A8" s="16">
        <v>1</v>
      </c>
      <c r="B8" s="16">
        <v>2</v>
      </c>
      <c r="C8" s="16">
        <v>3</v>
      </c>
      <c r="D8" s="16">
        <v>4</v>
      </c>
      <c r="E8" s="16" t="s">
        <v>168</v>
      </c>
    </row>
    <row r="9" spans="1:5" ht="13.5" customHeight="1" x14ac:dyDescent="0.2">
      <c r="A9" s="72" t="s">
        <v>175</v>
      </c>
      <c r="B9" s="27">
        <f>B10</f>
        <v>55010133</v>
      </c>
      <c r="C9" s="27">
        <f t="shared" ref="C9:D9" si="0">C10</f>
        <v>55010133</v>
      </c>
      <c r="D9" s="27">
        <f t="shared" si="0"/>
        <v>15266857.35</v>
      </c>
      <c r="E9" s="28">
        <f>D9/C9*100</f>
        <v>27.752809377864985</v>
      </c>
    </row>
    <row r="10" spans="1:5" ht="13.5" customHeight="1" x14ac:dyDescent="0.2">
      <c r="A10" s="80" t="s">
        <v>169</v>
      </c>
      <c r="B10" s="81">
        <f>B14+B61+B80+B147+B179+B183+B191</f>
        <v>55010133</v>
      </c>
      <c r="C10" s="81">
        <f>C14+C61+C80+C147+C179+C183+C191</f>
        <v>55010133</v>
      </c>
      <c r="D10" s="81">
        <f>D14+D61+D80+D147+D179+D183+D191</f>
        <v>15266857.35</v>
      </c>
      <c r="E10" s="82">
        <f t="shared" ref="E10:E13" si="1">D10/C10*100</f>
        <v>27.752809377864985</v>
      </c>
    </row>
    <row r="11" spans="1:5" ht="13.5" customHeight="1" x14ac:dyDescent="0.2">
      <c r="A11" s="80" t="s">
        <v>170</v>
      </c>
      <c r="B11" s="81">
        <f>B12+B78+B177+B189</f>
        <v>55010133</v>
      </c>
      <c r="C11" s="81">
        <f>C12+C78+C177+C189</f>
        <v>55010133</v>
      </c>
      <c r="D11" s="81">
        <f>D12+D78+D177+D189</f>
        <v>15266857.35</v>
      </c>
      <c r="E11" s="82">
        <f t="shared" si="1"/>
        <v>27.752809377864985</v>
      </c>
    </row>
    <row r="12" spans="1:5" ht="13.5" customHeight="1" x14ac:dyDescent="0.2">
      <c r="A12" s="72" t="s">
        <v>25</v>
      </c>
      <c r="B12" s="27">
        <f>B13</f>
        <v>23149502</v>
      </c>
      <c r="C12" s="27">
        <f>C13</f>
        <v>23149502</v>
      </c>
      <c r="D12" s="27">
        <f>D13</f>
        <v>8275154.7400000002</v>
      </c>
      <c r="E12" s="28">
        <f t="shared" si="1"/>
        <v>35.746577788152848</v>
      </c>
    </row>
    <row r="13" spans="1:5" ht="13.5" customHeight="1" x14ac:dyDescent="0.2">
      <c r="A13" s="72" t="s">
        <v>26</v>
      </c>
      <c r="B13" s="27">
        <f>B14+B61</f>
        <v>23149502</v>
      </c>
      <c r="C13" s="27">
        <f>C14+C61</f>
        <v>23149502</v>
      </c>
      <c r="D13" s="27">
        <f>D14+D61</f>
        <v>8275154.7400000002</v>
      </c>
      <c r="E13" s="28">
        <f t="shared" si="1"/>
        <v>35.746577788152848</v>
      </c>
    </row>
    <row r="14" spans="1:5" ht="13.5" customHeight="1" x14ac:dyDescent="0.2">
      <c r="A14" s="43" t="s">
        <v>8</v>
      </c>
      <c r="B14" s="24">
        <f>B15+B23+B55</f>
        <v>20921317</v>
      </c>
      <c r="C14" s="24">
        <f>C15+C23+C55</f>
        <v>20921317</v>
      </c>
      <c r="D14" s="24">
        <f>D15+D23+D55</f>
        <v>7306800.0200000005</v>
      </c>
      <c r="E14" s="25">
        <f>D14/C14*100</f>
        <v>34.925143670448669</v>
      </c>
    </row>
    <row r="15" spans="1:5" ht="13.5" customHeight="1" x14ac:dyDescent="0.2">
      <c r="A15" s="73" t="s">
        <v>49</v>
      </c>
      <c r="B15" s="58">
        <v>11073014</v>
      </c>
      <c r="C15" s="58">
        <v>11073014</v>
      </c>
      <c r="D15" s="58">
        <f>D16+D19+D21</f>
        <v>4509959.1800000006</v>
      </c>
      <c r="E15" s="58">
        <f>D15/C15*100</f>
        <v>40.729282740905056</v>
      </c>
    </row>
    <row r="16" spans="1:5" ht="13.5" customHeight="1" x14ac:dyDescent="0.2">
      <c r="A16" s="75" t="s">
        <v>134</v>
      </c>
      <c r="B16" s="58"/>
      <c r="C16" s="58"/>
      <c r="D16" s="58">
        <f>SUM(D17:D18)</f>
        <v>3546177.5100000002</v>
      </c>
      <c r="E16" s="58"/>
    </row>
    <row r="17" spans="1:5" s="1" customFormat="1" ht="13.5" customHeight="1" x14ac:dyDescent="0.2">
      <c r="A17" s="76" t="s">
        <v>75</v>
      </c>
      <c r="B17" s="57"/>
      <c r="C17" s="57"/>
      <c r="D17" s="57">
        <v>3403073.18</v>
      </c>
      <c r="E17" s="57"/>
    </row>
    <row r="18" spans="1:5" s="1" customFormat="1" ht="13.5" customHeight="1" x14ac:dyDescent="0.2">
      <c r="A18" s="76" t="s">
        <v>174</v>
      </c>
      <c r="B18" s="57"/>
      <c r="C18" s="57"/>
      <c r="D18" s="57">
        <v>143104.32999999999</v>
      </c>
      <c r="E18" s="57"/>
    </row>
    <row r="19" spans="1:5" s="62" customFormat="1" ht="13.5" customHeight="1" x14ac:dyDescent="0.2">
      <c r="A19" s="75" t="s">
        <v>135</v>
      </c>
      <c r="B19" s="58"/>
      <c r="C19" s="58"/>
      <c r="D19" s="58">
        <f t="shared" ref="D19" si="2">D20</f>
        <v>403151.89</v>
      </c>
      <c r="E19" s="58"/>
    </row>
    <row r="20" spans="1:5" s="1" customFormat="1" ht="13.5" customHeight="1" x14ac:dyDescent="0.2">
      <c r="A20" s="76" t="s">
        <v>76</v>
      </c>
      <c r="B20" s="57"/>
      <c r="C20" s="57"/>
      <c r="D20" s="57">
        <v>403151.89</v>
      </c>
      <c r="E20" s="57"/>
    </row>
    <row r="21" spans="1:5" s="62" customFormat="1" ht="13.5" customHeight="1" x14ac:dyDescent="0.2">
      <c r="A21" s="75" t="s">
        <v>136</v>
      </c>
      <c r="B21" s="58"/>
      <c r="C21" s="58"/>
      <c r="D21" s="58">
        <f>D22</f>
        <v>560629.78</v>
      </c>
      <c r="E21" s="58"/>
    </row>
    <row r="22" spans="1:5" s="1" customFormat="1" ht="13.5" customHeight="1" x14ac:dyDescent="0.2">
      <c r="A22" s="76" t="s">
        <v>78</v>
      </c>
      <c r="B22" s="57"/>
      <c r="C22" s="57"/>
      <c r="D22" s="57">
        <v>560629.78</v>
      </c>
      <c r="E22" s="57"/>
    </row>
    <row r="23" spans="1:5" s="1" customFormat="1" ht="13.5" customHeight="1" x14ac:dyDescent="0.2">
      <c r="A23" s="73" t="s">
        <v>50</v>
      </c>
      <c r="B23" s="58">
        <v>9847639</v>
      </c>
      <c r="C23" s="58">
        <v>9847639</v>
      </c>
      <c r="D23" s="58">
        <f>D24+D29+D36+D46+D48</f>
        <v>2795810.6799999997</v>
      </c>
      <c r="E23" s="58">
        <f>D23/C23*100</f>
        <v>28.390669885441572</v>
      </c>
    </row>
    <row r="24" spans="1:5" s="1" customFormat="1" ht="13.5" customHeight="1" x14ac:dyDescent="0.2">
      <c r="A24" s="75" t="s">
        <v>137</v>
      </c>
      <c r="B24" s="58"/>
      <c r="C24" s="58"/>
      <c r="D24" s="58">
        <f>SUM(D25:D28)</f>
        <v>122764.05</v>
      </c>
      <c r="E24" s="58"/>
    </row>
    <row r="25" spans="1:5" s="1" customFormat="1" ht="13.5" customHeight="1" x14ac:dyDescent="0.2">
      <c r="A25" s="76" t="s">
        <v>79</v>
      </c>
      <c r="B25" s="57"/>
      <c r="C25" s="57"/>
      <c r="D25" s="57">
        <v>5171.37</v>
      </c>
      <c r="E25" s="57"/>
    </row>
    <row r="26" spans="1:5" s="1" customFormat="1" ht="13.5" customHeight="1" x14ac:dyDescent="0.2">
      <c r="A26" s="77" t="s">
        <v>80</v>
      </c>
      <c r="B26" s="57"/>
      <c r="C26" s="57"/>
      <c r="D26" s="57">
        <v>51247.02</v>
      </c>
      <c r="E26" s="57"/>
    </row>
    <row r="27" spans="1:5" s="1" customFormat="1" ht="13.5" customHeight="1" x14ac:dyDescent="0.2">
      <c r="A27" s="76" t="s">
        <v>81</v>
      </c>
      <c r="B27" s="57"/>
      <c r="C27" s="57"/>
      <c r="D27" s="57">
        <v>66345.66</v>
      </c>
      <c r="E27" s="57"/>
    </row>
    <row r="28" spans="1:5" s="1" customFormat="1" ht="13.5" hidden="1" customHeight="1" x14ac:dyDescent="0.2">
      <c r="A28" s="76" t="s">
        <v>82</v>
      </c>
      <c r="B28" s="57"/>
      <c r="C28" s="57"/>
      <c r="D28" s="59"/>
      <c r="E28" s="57"/>
    </row>
    <row r="29" spans="1:5" s="62" customFormat="1" ht="13.5" customHeight="1" x14ac:dyDescent="0.2">
      <c r="A29" s="75" t="s">
        <v>138</v>
      </c>
      <c r="B29" s="58"/>
      <c r="C29" s="58"/>
      <c r="D29" s="58">
        <f>SUM(D30:D35)</f>
        <v>1952764.8399999999</v>
      </c>
      <c r="E29" s="58"/>
    </row>
    <row r="30" spans="1:5" s="1" customFormat="1" ht="13.5" customHeight="1" x14ac:dyDescent="0.2">
      <c r="A30" s="76" t="s">
        <v>83</v>
      </c>
      <c r="B30" s="57"/>
      <c r="C30" s="57"/>
      <c r="D30" s="57">
        <v>216081.97</v>
      </c>
      <c r="E30" s="57"/>
    </row>
    <row r="31" spans="1:5" s="1" customFormat="1" ht="13.5" customHeight="1" x14ac:dyDescent="0.2">
      <c r="A31" s="76" t="s">
        <v>84</v>
      </c>
      <c r="B31" s="57"/>
      <c r="C31" s="57"/>
      <c r="D31" s="57">
        <v>1422945.22</v>
      </c>
      <c r="E31" s="57"/>
    </row>
    <row r="32" spans="1:5" s="1" customFormat="1" ht="13.5" customHeight="1" x14ac:dyDescent="0.2">
      <c r="A32" s="76" t="s">
        <v>85</v>
      </c>
      <c r="B32" s="57"/>
      <c r="C32" s="57"/>
      <c r="D32" s="57">
        <v>202057.18</v>
      </c>
      <c r="E32" s="57"/>
    </row>
    <row r="33" spans="1:5" s="1" customFormat="1" ht="13.5" hidden="1" customHeight="1" x14ac:dyDescent="0.2">
      <c r="A33" s="77" t="s">
        <v>86</v>
      </c>
      <c r="B33" s="57"/>
      <c r="C33" s="57"/>
      <c r="D33" s="59"/>
      <c r="E33" s="57"/>
    </row>
    <row r="34" spans="1:5" s="1" customFormat="1" ht="13.5" customHeight="1" x14ac:dyDescent="0.2">
      <c r="A34" s="76" t="s">
        <v>87</v>
      </c>
      <c r="B34" s="57"/>
      <c r="C34" s="57"/>
      <c r="D34" s="57">
        <v>111680.47</v>
      </c>
      <c r="E34" s="57"/>
    </row>
    <row r="35" spans="1:5" s="1" customFormat="1" ht="13.5" hidden="1" customHeight="1" x14ac:dyDescent="0.2">
      <c r="A35" s="76" t="s">
        <v>88</v>
      </c>
      <c r="B35" s="57"/>
      <c r="C35" s="57"/>
      <c r="D35" s="57"/>
      <c r="E35" s="57"/>
    </row>
    <row r="36" spans="1:5" s="62" customFormat="1" ht="13.5" customHeight="1" x14ac:dyDescent="0.2">
      <c r="A36" s="75" t="s">
        <v>139</v>
      </c>
      <c r="B36" s="58"/>
      <c r="C36" s="58"/>
      <c r="D36" s="58">
        <f>SUM(D37:D45)</f>
        <v>315192.14</v>
      </c>
      <c r="E36" s="58"/>
    </row>
    <row r="37" spans="1:5" s="1" customFormat="1" ht="13.5" customHeight="1" x14ac:dyDescent="0.2">
      <c r="A37" s="76" t="s">
        <v>89</v>
      </c>
      <c r="B37" s="57"/>
      <c r="C37" s="57"/>
      <c r="D37" s="57">
        <v>747.65</v>
      </c>
      <c r="E37" s="57"/>
    </row>
    <row r="38" spans="1:5" s="1" customFormat="1" ht="13.5" customHeight="1" x14ac:dyDescent="0.2">
      <c r="A38" s="76" t="s">
        <v>90</v>
      </c>
      <c r="B38" s="57"/>
      <c r="C38" s="57"/>
      <c r="D38" s="57">
        <v>96520.77</v>
      </c>
      <c r="E38" s="57"/>
    </row>
    <row r="39" spans="1:5" s="1" customFormat="1" ht="13.5" customHeight="1" x14ac:dyDescent="0.2">
      <c r="A39" s="76" t="s">
        <v>91</v>
      </c>
      <c r="B39" s="57"/>
      <c r="C39" s="57"/>
      <c r="D39" s="57">
        <v>11408.8</v>
      </c>
      <c r="E39" s="57"/>
    </row>
    <row r="40" spans="1:5" s="1" customFormat="1" ht="13.5" customHeight="1" x14ac:dyDescent="0.2">
      <c r="A40" s="76" t="s">
        <v>92</v>
      </c>
      <c r="B40" s="57"/>
      <c r="C40" s="57"/>
      <c r="D40" s="57">
        <v>118859.04</v>
      </c>
      <c r="E40" s="57"/>
    </row>
    <row r="41" spans="1:5" s="1" customFormat="1" ht="13.5" customHeight="1" x14ac:dyDescent="0.2">
      <c r="A41" s="76" t="s">
        <v>93</v>
      </c>
      <c r="B41" s="57"/>
      <c r="C41" s="57"/>
      <c r="D41" s="57">
        <v>1800</v>
      </c>
      <c r="E41" s="57"/>
    </row>
    <row r="42" spans="1:5" s="1" customFormat="1" ht="13.5" customHeight="1" x14ac:dyDescent="0.2">
      <c r="A42" s="76" t="s">
        <v>94</v>
      </c>
      <c r="B42" s="57"/>
      <c r="C42" s="57"/>
      <c r="D42" s="57">
        <v>32972.86</v>
      </c>
      <c r="E42" s="57"/>
    </row>
    <row r="43" spans="1:5" s="1" customFormat="1" ht="13.5" customHeight="1" x14ac:dyDescent="0.2">
      <c r="A43" s="76" t="s">
        <v>95</v>
      </c>
      <c r="B43" s="57"/>
      <c r="C43" s="57"/>
      <c r="D43" s="57">
        <v>49260.69</v>
      </c>
      <c r="E43" s="57"/>
    </row>
    <row r="44" spans="1:5" s="1" customFormat="1" ht="13.5" customHeight="1" x14ac:dyDescent="0.2">
      <c r="A44" s="76" t="s">
        <v>96</v>
      </c>
      <c r="B44" s="57"/>
      <c r="C44" s="57"/>
      <c r="D44" s="57">
        <v>258.68</v>
      </c>
      <c r="E44" s="57"/>
    </row>
    <row r="45" spans="1:5" s="1" customFormat="1" ht="13.5" customHeight="1" x14ac:dyDescent="0.2">
      <c r="A45" s="76" t="s">
        <v>97</v>
      </c>
      <c r="B45" s="57"/>
      <c r="C45" s="57"/>
      <c r="D45" s="57">
        <v>3363.65</v>
      </c>
      <c r="E45" s="57"/>
    </row>
    <row r="46" spans="1:5" s="62" customFormat="1" ht="13.5" hidden="1" customHeight="1" x14ac:dyDescent="0.2">
      <c r="A46" s="75" t="s">
        <v>140</v>
      </c>
      <c r="B46" s="58"/>
      <c r="C46" s="58"/>
      <c r="D46" s="58">
        <f t="shared" ref="D46" si="3">D47</f>
        <v>0</v>
      </c>
      <c r="E46" s="58"/>
    </row>
    <row r="47" spans="1:5" s="1" customFormat="1" ht="13.5" hidden="1" customHeight="1" x14ac:dyDescent="0.2">
      <c r="A47" s="76" t="s">
        <v>98</v>
      </c>
      <c r="B47" s="59"/>
      <c r="C47" s="59"/>
      <c r="D47" s="59"/>
      <c r="E47" s="57"/>
    </row>
    <row r="48" spans="1:5" s="62" customFormat="1" ht="13.5" customHeight="1" x14ac:dyDescent="0.2">
      <c r="A48" s="75" t="s">
        <v>141</v>
      </c>
      <c r="B48" s="58"/>
      <c r="C48" s="58"/>
      <c r="D48" s="58">
        <f>SUM(D49:D54)</f>
        <v>405089.65</v>
      </c>
      <c r="E48" s="58"/>
    </row>
    <row r="49" spans="1:5" s="1" customFormat="1" ht="13.5" customHeight="1" x14ac:dyDescent="0.2">
      <c r="A49" s="76" t="s">
        <v>100</v>
      </c>
      <c r="B49" s="57"/>
      <c r="C49" s="57"/>
      <c r="D49" s="57">
        <v>1668.6</v>
      </c>
      <c r="E49" s="57"/>
    </row>
    <row r="50" spans="1:5" s="1" customFormat="1" ht="13.5" hidden="1" customHeight="1" x14ac:dyDescent="0.2">
      <c r="A50" s="76" t="s">
        <v>101</v>
      </c>
      <c r="B50" s="57"/>
      <c r="C50" s="57"/>
      <c r="D50" s="57"/>
      <c r="E50" s="57"/>
    </row>
    <row r="51" spans="1:5" s="1" customFormat="1" ht="13.5" customHeight="1" x14ac:dyDescent="0.2">
      <c r="A51" s="76" t="s">
        <v>142</v>
      </c>
      <c r="B51" s="57"/>
      <c r="C51" s="57"/>
      <c r="D51" s="57">
        <v>1442.52</v>
      </c>
      <c r="E51" s="57"/>
    </row>
    <row r="52" spans="1:5" s="1" customFormat="1" ht="13.5" customHeight="1" x14ac:dyDescent="0.2">
      <c r="A52" s="76" t="s">
        <v>102</v>
      </c>
      <c r="B52" s="57"/>
      <c r="C52" s="57"/>
      <c r="D52" s="57">
        <v>193245.14</v>
      </c>
      <c r="E52" s="57"/>
    </row>
    <row r="53" spans="1:5" s="1" customFormat="1" ht="13.5" hidden="1" customHeight="1" x14ac:dyDescent="0.2">
      <c r="A53" s="76" t="s">
        <v>103</v>
      </c>
      <c r="B53" s="57"/>
      <c r="C53" s="57"/>
      <c r="D53" s="57"/>
      <c r="E53" s="57"/>
    </row>
    <row r="54" spans="1:5" s="1" customFormat="1" ht="13.5" customHeight="1" x14ac:dyDescent="0.2">
      <c r="A54" s="76" t="s">
        <v>104</v>
      </c>
      <c r="B54" s="57"/>
      <c r="C54" s="57"/>
      <c r="D54" s="57">
        <v>208733.39</v>
      </c>
      <c r="E54" s="57"/>
    </row>
    <row r="55" spans="1:5" s="1" customFormat="1" ht="13.5" customHeight="1" x14ac:dyDescent="0.2">
      <c r="A55" s="73" t="s">
        <v>51</v>
      </c>
      <c r="B55" s="58">
        <v>664</v>
      </c>
      <c r="C55" s="58">
        <v>664</v>
      </c>
      <c r="D55" s="58">
        <f t="shared" ref="D55" si="4">D56</f>
        <v>1030.1600000000001</v>
      </c>
      <c r="E55" s="58">
        <f>D55/C55*100</f>
        <v>155.14457831325302</v>
      </c>
    </row>
    <row r="56" spans="1:5" s="1" customFormat="1" ht="13.5" customHeight="1" x14ac:dyDescent="0.2">
      <c r="A56" s="75" t="s">
        <v>143</v>
      </c>
      <c r="B56" s="58"/>
      <c r="C56" s="58"/>
      <c r="D56" s="58">
        <f>SUM(D57:D60)</f>
        <v>1030.1600000000001</v>
      </c>
      <c r="E56" s="58"/>
    </row>
    <row r="57" spans="1:5" s="1" customFormat="1" ht="13.5" hidden="1" customHeight="1" x14ac:dyDescent="0.2">
      <c r="A57" s="76" t="s">
        <v>105</v>
      </c>
      <c r="B57" s="57"/>
      <c r="C57" s="57"/>
      <c r="D57" s="57"/>
      <c r="E57" s="57"/>
    </row>
    <row r="58" spans="1:5" s="1" customFormat="1" ht="12.75" x14ac:dyDescent="0.2">
      <c r="A58" s="76" t="s">
        <v>106</v>
      </c>
      <c r="B58" s="57"/>
      <c r="C58" s="57"/>
      <c r="D58" s="57">
        <v>1030.1600000000001</v>
      </c>
      <c r="E58" s="57"/>
    </row>
    <row r="59" spans="1:5" s="1" customFormat="1" ht="13.5" hidden="1" customHeight="1" x14ac:dyDescent="0.2">
      <c r="A59" s="76" t="s">
        <v>107</v>
      </c>
      <c r="B59" s="57"/>
      <c r="C59" s="57"/>
      <c r="D59" s="57"/>
      <c r="E59" s="57"/>
    </row>
    <row r="60" spans="1:5" s="1" customFormat="1" ht="13.5" hidden="1" customHeight="1" x14ac:dyDescent="0.2">
      <c r="A60" s="76" t="s">
        <v>108</v>
      </c>
      <c r="B60" s="57"/>
      <c r="C60" s="57"/>
      <c r="D60" s="59"/>
      <c r="E60" s="57"/>
    </row>
    <row r="61" spans="1:5" s="1" customFormat="1" ht="13.5" customHeight="1" x14ac:dyDescent="0.2">
      <c r="A61" s="74" t="s">
        <v>9</v>
      </c>
      <c r="B61" s="67">
        <f>B62+B73</f>
        <v>2228185</v>
      </c>
      <c r="C61" s="67">
        <f>C62+C73</f>
        <v>2228185</v>
      </c>
      <c r="D61" s="67">
        <f>D62+D73</f>
        <v>968354.72</v>
      </c>
      <c r="E61" s="67">
        <f>D61/C61*100</f>
        <v>43.459350098847267</v>
      </c>
    </row>
    <row r="62" spans="1:5" s="1" customFormat="1" ht="13.5" customHeight="1" x14ac:dyDescent="0.2">
      <c r="A62" s="73" t="s">
        <v>59</v>
      </c>
      <c r="B62" s="58">
        <v>435650</v>
      </c>
      <c r="C62" s="58">
        <v>435650</v>
      </c>
      <c r="D62" s="58">
        <f>D63+D71</f>
        <v>112396.57</v>
      </c>
      <c r="E62" s="58">
        <f>D62/C62*100</f>
        <v>25.799740617468153</v>
      </c>
    </row>
    <row r="63" spans="1:5" s="1" customFormat="1" ht="13.5" customHeight="1" x14ac:dyDescent="0.2">
      <c r="A63" s="75" t="s">
        <v>155</v>
      </c>
      <c r="B63" s="58"/>
      <c r="C63" s="58"/>
      <c r="D63" s="58">
        <f>SUM(D64:D70)</f>
        <v>92502.75</v>
      </c>
      <c r="E63" s="58"/>
    </row>
    <row r="64" spans="1:5" s="1" customFormat="1" ht="13.5" hidden="1" customHeight="1" x14ac:dyDescent="0.2">
      <c r="A64" s="76" t="s">
        <v>121</v>
      </c>
      <c r="B64" s="57"/>
      <c r="C64" s="57"/>
      <c r="D64" s="57"/>
      <c r="E64" s="57"/>
    </row>
    <row r="65" spans="1:5" s="1" customFormat="1" ht="13.5" customHeight="1" x14ac:dyDescent="0.2">
      <c r="A65" s="76" t="s">
        <v>122</v>
      </c>
      <c r="B65" s="57"/>
      <c r="C65" s="57"/>
      <c r="D65" s="57">
        <v>2184.96</v>
      </c>
      <c r="E65" s="57"/>
    </row>
    <row r="66" spans="1:5" s="1" customFormat="1" ht="13.5" customHeight="1" x14ac:dyDescent="0.2">
      <c r="A66" s="76" t="s">
        <v>123</v>
      </c>
      <c r="B66" s="57"/>
      <c r="C66" s="57"/>
      <c r="D66" s="57">
        <v>8975</v>
      </c>
      <c r="E66" s="57"/>
    </row>
    <row r="67" spans="1:5" s="1" customFormat="1" ht="13.5" hidden="1" customHeight="1" x14ac:dyDescent="0.2">
      <c r="A67" s="76" t="s">
        <v>124</v>
      </c>
      <c r="B67" s="57"/>
      <c r="C67" s="57"/>
      <c r="D67" s="57"/>
      <c r="E67" s="57"/>
    </row>
    <row r="68" spans="1:5" s="1" customFormat="1" ht="13.5" customHeight="1" x14ac:dyDescent="0.2">
      <c r="A68" s="76" t="s">
        <v>125</v>
      </c>
      <c r="B68" s="57"/>
      <c r="C68" s="57"/>
      <c r="D68" s="57">
        <v>960</v>
      </c>
      <c r="E68" s="57"/>
    </row>
    <row r="69" spans="1:5" s="1" customFormat="1" ht="13.5" hidden="1" customHeight="1" x14ac:dyDescent="0.2">
      <c r="A69" s="76" t="s">
        <v>126</v>
      </c>
      <c r="B69" s="57"/>
      <c r="C69" s="57"/>
      <c r="D69" s="57"/>
      <c r="E69" s="57"/>
    </row>
    <row r="70" spans="1:5" s="1" customFormat="1" ht="13.5" customHeight="1" x14ac:dyDescent="0.2">
      <c r="A70" s="76" t="s">
        <v>127</v>
      </c>
      <c r="B70" s="57"/>
      <c r="C70" s="57"/>
      <c r="D70" s="57">
        <v>80382.789999999994</v>
      </c>
      <c r="E70" s="57"/>
    </row>
    <row r="71" spans="1:5" s="1" customFormat="1" ht="13.5" customHeight="1" x14ac:dyDescent="0.2">
      <c r="A71" s="75" t="s">
        <v>158</v>
      </c>
      <c r="B71" s="58"/>
      <c r="C71" s="58"/>
      <c r="D71" s="58">
        <f t="shared" ref="D71" si="5">D72</f>
        <v>19893.82</v>
      </c>
      <c r="E71" s="58"/>
    </row>
    <row r="72" spans="1:5" s="1" customFormat="1" ht="13.5" customHeight="1" x14ac:dyDescent="0.2">
      <c r="A72" s="76" t="s">
        <v>131</v>
      </c>
      <c r="B72" s="57"/>
      <c r="C72" s="57"/>
      <c r="D72" s="57">
        <v>19893.82</v>
      </c>
      <c r="E72" s="57"/>
    </row>
    <row r="73" spans="1:5" s="1" customFormat="1" ht="13.5" customHeight="1" x14ac:dyDescent="0.2">
      <c r="A73" s="73" t="s">
        <v>60</v>
      </c>
      <c r="B73" s="58">
        <v>1792535</v>
      </c>
      <c r="C73" s="58">
        <v>1792535</v>
      </c>
      <c r="D73" s="58">
        <f t="shared" ref="D73" si="6">D74+D76</f>
        <v>855958.15</v>
      </c>
      <c r="E73" s="58">
        <f>D73/C73*100</f>
        <v>47.751265665663432</v>
      </c>
    </row>
    <row r="74" spans="1:5" s="1" customFormat="1" ht="13.5" customHeight="1" x14ac:dyDescent="0.2">
      <c r="A74" s="79" t="s">
        <v>159</v>
      </c>
      <c r="B74" s="58"/>
      <c r="C74" s="58"/>
      <c r="D74" s="58">
        <f t="shared" ref="D74" si="7">D75</f>
        <v>855958.15</v>
      </c>
      <c r="E74" s="58"/>
    </row>
    <row r="75" spans="1:5" s="1" customFormat="1" ht="13.5" customHeight="1" x14ac:dyDescent="0.2">
      <c r="A75" s="76" t="s">
        <v>132</v>
      </c>
      <c r="B75" s="57"/>
      <c r="C75" s="57"/>
      <c r="D75" s="57">
        <v>855958.15</v>
      </c>
      <c r="E75" s="57"/>
    </row>
    <row r="76" spans="1:5" s="1" customFormat="1" ht="13.5" hidden="1" customHeight="1" x14ac:dyDescent="0.2">
      <c r="A76" s="75" t="s">
        <v>160</v>
      </c>
      <c r="B76" s="58"/>
      <c r="C76" s="58"/>
      <c r="D76" s="58">
        <f t="shared" ref="D76" si="8">D77</f>
        <v>0</v>
      </c>
      <c r="E76" s="58"/>
    </row>
    <row r="77" spans="1:5" s="1" customFormat="1" ht="13.5" hidden="1" customHeight="1" x14ac:dyDescent="0.2">
      <c r="A77" s="76" t="s">
        <v>133</v>
      </c>
      <c r="B77" s="57"/>
      <c r="C77" s="57"/>
      <c r="D77" s="57"/>
      <c r="E77" s="57"/>
    </row>
    <row r="78" spans="1:5" s="1" customFormat="1" ht="13.5" customHeight="1" x14ac:dyDescent="0.15">
      <c r="A78" s="72" t="s">
        <v>172</v>
      </c>
      <c r="B78" s="27">
        <f>B79</f>
        <v>31714628</v>
      </c>
      <c r="C78" s="27">
        <f t="shared" ref="C78:D78" si="9">C79</f>
        <v>31714628</v>
      </c>
      <c r="D78" s="27">
        <f t="shared" si="9"/>
        <v>6985969.3699999992</v>
      </c>
      <c r="E78" s="28">
        <f>D78/C78*100</f>
        <v>22.027593607593314</v>
      </c>
    </row>
    <row r="79" spans="1:5" s="1" customFormat="1" ht="13.5" customHeight="1" x14ac:dyDescent="0.15">
      <c r="A79" s="72" t="s">
        <v>27</v>
      </c>
      <c r="B79" s="27">
        <f>B80+B147</f>
        <v>31714628</v>
      </c>
      <c r="C79" s="27">
        <f>C80+C147</f>
        <v>31714628</v>
      </c>
      <c r="D79" s="27">
        <f>D80+D147</f>
        <v>6985969.3699999992</v>
      </c>
      <c r="E79" s="28">
        <f t="shared" ref="E79" si="10">D79/C79*100</f>
        <v>22.027593607593314</v>
      </c>
    </row>
    <row r="80" spans="1:5" s="1" customFormat="1" ht="13.5" customHeight="1" x14ac:dyDescent="0.15">
      <c r="A80" s="43" t="s">
        <v>8</v>
      </c>
      <c r="B80" s="24">
        <f>B81+B90+B122+B127+B130+B137+B140</f>
        <v>25539237</v>
      </c>
      <c r="C80" s="24">
        <f>C81+C90+C122+C127+C130+C137+C140</f>
        <v>25539237</v>
      </c>
      <c r="D80" s="24">
        <f>D81+D90+D122+D127+D130+D137+D140</f>
        <v>6862087.4099999992</v>
      </c>
      <c r="E80" s="25">
        <f>D80/C80*100</f>
        <v>26.868803519854563</v>
      </c>
    </row>
    <row r="81" spans="1:5" s="1" customFormat="1" ht="13.5" customHeight="1" x14ac:dyDescent="0.2">
      <c r="A81" s="73" t="s">
        <v>49</v>
      </c>
      <c r="B81" s="58">
        <v>10389616</v>
      </c>
      <c r="C81" s="58">
        <v>10389616</v>
      </c>
      <c r="D81" s="58">
        <f>D82+D85+D87</f>
        <v>4233240.67</v>
      </c>
      <c r="E81" s="58">
        <f>D81/C81*100</f>
        <v>40.744919446493498</v>
      </c>
    </row>
    <row r="82" spans="1:5" s="1" customFormat="1" ht="13.5" customHeight="1" x14ac:dyDescent="0.2">
      <c r="A82" s="75" t="s">
        <v>134</v>
      </c>
      <c r="B82" s="58"/>
      <c r="C82" s="58"/>
      <c r="D82" s="58">
        <f>SUM(D83:D84)</f>
        <v>3426552.04</v>
      </c>
      <c r="E82" s="58"/>
    </row>
    <row r="83" spans="1:5" s="1" customFormat="1" ht="13.5" customHeight="1" x14ac:dyDescent="0.2">
      <c r="A83" s="76" t="s">
        <v>75</v>
      </c>
      <c r="B83" s="57"/>
      <c r="C83" s="57"/>
      <c r="D83" s="57">
        <v>3298575.25</v>
      </c>
      <c r="E83" s="57"/>
    </row>
    <row r="84" spans="1:5" s="1" customFormat="1" ht="13.5" customHeight="1" x14ac:dyDescent="0.2">
      <c r="A84" s="76" t="s">
        <v>174</v>
      </c>
      <c r="B84" s="57"/>
      <c r="C84" s="57"/>
      <c r="D84" s="57">
        <v>127976.79</v>
      </c>
      <c r="E84" s="57"/>
    </row>
    <row r="85" spans="1:5" s="1" customFormat="1" ht="13.5" customHeight="1" x14ac:dyDescent="0.2">
      <c r="A85" s="75" t="s">
        <v>135</v>
      </c>
      <c r="B85" s="58"/>
      <c r="C85" s="58"/>
      <c r="D85" s="58">
        <f t="shared" ref="D85" si="11">D86</f>
        <v>259567.78</v>
      </c>
      <c r="E85" s="58"/>
    </row>
    <row r="86" spans="1:5" s="1" customFormat="1" ht="13.5" customHeight="1" x14ac:dyDescent="0.2">
      <c r="A86" s="76" t="s">
        <v>76</v>
      </c>
      <c r="B86" s="57"/>
      <c r="C86" s="57"/>
      <c r="D86" s="57">
        <v>259567.78</v>
      </c>
      <c r="E86" s="57"/>
    </row>
    <row r="87" spans="1:5" s="1" customFormat="1" ht="13.5" customHeight="1" x14ac:dyDescent="0.2">
      <c r="A87" s="75" t="s">
        <v>136</v>
      </c>
      <c r="B87" s="58"/>
      <c r="C87" s="58"/>
      <c r="D87" s="58">
        <f t="shared" ref="D87" si="12">SUM(D88:D89)</f>
        <v>547120.85000000009</v>
      </c>
      <c r="E87" s="58"/>
    </row>
    <row r="88" spans="1:5" s="1" customFormat="1" ht="13.5" customHeight="1" x14ac:dyDescent="0.2">
      <c r="A88" s="76" t="s">
        <v>77</v>
      </c>
      <c r="B88" s="57"/>
      <c r="C88" s="57"/>
      <c r="D88" s="57">
        <v>7584.3</v>
      </c>
      <c r="E88" s="57"/>
    </row>
    <row r="89" spans="1:5" s="1" customFormat="1" ht="13.5" customHeight="1" x14ac:dyDescent="0.2">
      <c r="A89" s="76" t="s">
        <v>78</v>
      </c>
      <c r="B89" s="57"/>
      <c r="C89" s="57"/>
      <c r="D89" s="57">
        <v>539536.55000000005</v>
      </c>
      <c r="E89" s="57"/>
    </row>
    <row r="90" spans="1:5" s="1" customFormat="1" ht="13.5" customHeight="1" x14ac:dyDescent="0.2">
      <c r="A90" s="73" t="s">
        <v>50</v>
      </c>
      <c r="B90" s="58">
        <v>9264952</v>
      </c>
      <c r="C90" s="58">
        <v>9264952</v>
      </c>
      <c r="D90" s="58">
        <f>D91+D96+D102+D112+D114</f>
        <v>2517135.54</v>
      </c>
      <c r="E90" s="58">
        <f>D90/C90*100</f>
        <v>27.168360289400312</v>
      </c>
    </row>
    <row r="91" spans="1:5" s="1" customFormat="1" ht="13.5" customHeight="1" x14ac:dyDescent="0.2">
      <c r="A91" s="75" t="s">
        <v>137</v>
      </c>
      <c r="B91" s="58"/>
      <c r="C91" s="58"/>
      <c r="D91" s="58">
        <f t="shared" ref="D91" si="13">SUM(D92:D95)</f>
        <v>106988.81</v>
      </c>
      <c r="E91" s="58"/>
    </row>
    <row r="92" spans="1:5" s="1" customFormat="1" ht="13.5" customHeight="1" x14ac:dyDescent="0.2">
      <c r="A92" s="76" t="s">
        <v>79</v>
      </c>
      <c r="B92" s="57"/>
      <c r="C92" s="57"/>
      <c r="D92" s="57">
        <v>45291.83</v>
      </c>
      <c r="E92" s="57"/>
    </row>
    <row r="93" spans="1:5" s="1" customFormat="1" ht="13.5" customHeight="1" x14ac:dyDescent="0.2">
      <c r="A93" s="77" t="s">
        <v>80</v>
      </c>
      <c r="B93" s="57"/>
      <c r="C93" s="57"/>
      <c r="D93" s="57">
        <v>54845.48</v>
      </c>
      <c r="E93" s="57"/>
    </row>
    <row r="94" spans="1:5" s="1" customFormat="1" ht="13.5" customHeight="1" x14ac:dyDescent="0.2">
      <c r="A94" s="76" t="s">
        <v>81</v>
      </c>
      <c r="B94" s="57"/>
      <c r="C94" s="57"/>
      <c r="D94" s="57">
        <v>6851.5</v>
      </c>
      <c r="E94" s="57"/>
    </row>
    <row r="95" spans="1:5" s="1" customFormat="1" ht="13.5" hidden="1" customHeight="1" x14ac:dyDescent="0.2">
      <c r="A95" s="76" t="s">
        <v>82</v>
      </c>
      <c r="B95" s="57"/>
      <c r="C95" s="57"/>
      <c r="D95" s="59"/>
      <c r="E95" s="57"/>
    </row>
    <row r="96" spans="1:5" s="1" customFormat="1" ht="13.5" customHeight="1" x14ac:dyDescent="0.2">
      <c r="A96" s="75" t="s">
        <v>138</v>
      </c>
      <c r="B96" s="58"/>
      <c r="C96" s="58"/>
      <c r="D96" s="58">
        <f>SUM(D97:D101)</f>
        <v>910173.13</v>
      </c>
      <c r="E96" s="58"/>
    </row>
    <row r="97" spans="1:5" s="1" customFormat="1" ht="13.5" customHeight="1" x14ac:dyDescent="0.2">
      <c r="A97" s="76" t="s">
        <v>83</v>
      </c>
      <c r="B97" s="57"/>
      <c r="C97" s="57"/>
      <c r="D97" s="57">
        <v>224333.58</v>
      </c>
      <c r="E97" s="57"/>
    </row>
    <row r="98" spans="1:5" s="1" customFormat="1" ht="13.5" customHeight="1" x14ac:dyDescent="0.2">
      <c r="A98" s="76" t="s">
        <v>85</v>
      </c>
      <c r="B98" s="57"/>
      <c r="C98" s="57"/>
      <c r="D98" s="57">
        <v>668986.53</v>
      </c>
      <c r="E98" s="57"/>
    </row>
    <row r="99" spans="1:5" s="1" customFormat="1" ht="13.5" customHeight="1" x14ac:dyDescent="0.2">
      <c r="A99" s="77" t="s">
        <v>86</v>
      </c>
      <c r="B99" s="57"/>
      <c r="C99" s="57"/>
      <c r="D99" s="57">
        <v>1147.04</v>
      </c>
      <c r="E99" s="57"/>
    </row>
    <row r="100" spans="1:5" s="1" customFormat="1" ht="13.5" customHeight="1" x14ac:dyDescent="0.2">
      <c r="A100" s="76" t="s">
        <v>87</v>
      </c>
      <c r="B100" s="57"/>
      <c r="C100" s="57"/>
      <c r="D100" s="57">
        <v>15259.29</v>
      </c>
      <c r="E100" s="57"/>
    </row>
    <row r="101" spans="1:5" s="1" customFormat="1" ht="13.5" customHeight="1" x14ac:dyDescent="0.2">
      <c r="A101" s="76" t="s">
        <v>88</v>
      </c>
      <c r="B101" s="57"/>
      <c r="C101" s="57"/>
      <c r="D101" s="57">
        <v>446.69</v>
      </c>
      <c r="E101" s="57"/>
    </row>
    <row r="102" spans="1:5" s="62" customFormat="1" ht="13.5" customHeight="1" x14ac:dyDescent="0.2">
      <c r="A102" s="75" t="s">
        <v>139</v>
      </c>
      <c r="B102" s="58"/>
      <c r="C102" s="58"/>
      <c r="D102" s="58">
        <f t="shared" ref="D102" si="14">SUM(D103:D111)</f>
        <v>1041866.56</v>
      </c>
      <c r="E102" s="58"/>
    </row>
    <row r="103" spans="1:5" s="1" customFormat="1" ht="13.5" customHeight="1" x14ac:dyDescent="0.2">
      <c r="A103" s="76" t="s">
        <v>89</v>
      </c>
      <c r="B103" s="57"/>
      <c r="C103" s="57"/>
      <c r="D103" s="57">
        <v>62389.81</v>
      </c>
      <c r="E103" s="57"/>
    </row>
    <row r="104" spans="1:5" s="1" customFormat="1" ht="13.5" customHeight="1" x14ac:dyDescent="0.2">
      <c r="A104" s="76" t="s">
        <v>90</v>
      </c>
      <c r="B104" s="57"/>
      <c r="C104" s="57"/>
      <c r="D104" s="57">
        <v>142197.26</v>
      </c>
      <c r="E104" s="57"/>
    </row>
    <row r="105" spans="1:5" s="1" customFormat="1" ht="13.5" customHeight="1" x14ac:dyDescent="0.2">
      <c r="A105" s="76" t="s">
        <v>91</v>
      </c>
      <c r="B105" s="57"/>
      <c r="C105" s="57"/>
      <c r="D105" s="57">
        <v>69917.31</v>
      </c>
      <c r="E105" s="57"/>
    </row>
    <row r="106" spans="1:5" s="1" customFormat="1" ht="13.5" customHeight="1" x14ac:dyDescent="0.2">
      <c r="A106" s="76" t="s">
        <v>92</v>
      </c>
      <c r="B106" s="57"/>
      <c r="C106" s="57"/>
      <c r="D106" s="57">
        <v>44847.96</v>
      </c>
      <c r="E106" s="57"/>
    </row>
    <row r="107" spans="1:5" s="1" customFormat="1" ht="13.5" customHeight="1" x14ac:dyDescent="0.2">
      <c r="A107" s="76" t="s">
        <v>93</v>
      </c>
      <c r="B107" s="57"/>
      <c r="C107" s="57"/>
      <c r="D107" s="57">
        <v>12105.79</v>
      </c>
      <c r="E107" s="57"/>
    </row>
    <row r="108" spans="1:5" s="1" customFormat="1" ht="13.5" customHeight="1" x14ac:dyDescent="0.2">
      <c r="A108" s="76" t="s">
        <v>94</v>
      </c>
      <c r="B108" s="57"/>
      <c r="C108" s="57"/>
      <c r="D108" s="57">
        <v>2403.13</v>
      </c>
      <c r="E108" s="57"/>
    </row>
    <row r="109" spans="1:5" s="1" customFormat="1" ht="13.5" customHeight="1" x14ac:dyDescent="0.2">
      <c r="A109" s="76" t="s">
        <v>95</v>
      </c>
      <c r="B109" s="57"/>
      <c r="C109" s="57"/>
      <c r="D109" s="57">
        <v>495948.47</v>
      </c>
      <c r="E109" s="57"/>
    </row>
    <row r="110" spans="1:5" s="1" customFormat="1" ht="13.5" customHeight="1" x14ac:dyDescent="0.2">
      <c r="A110" s="76" t="s">
        <v>96</v>
      </c>
      <c r="B110" s="57"/>
      <c r="C110" s="57"/>
      <c r="D110" s="57">
        <v>54292.56</v>
      </c>
      <c r="E110" s="57"/>
    </row>
    <row r="111" spans="1:5" s="1" customFormat="1" ht="13.5" customHeight="1" x14ac:dyDescent="0.2">
      <c r="A111" s="76" t="s">
        <v>97</v>
      </c>
      <c r="B111" s="57"/>
      <c r="C111" s="57"/>
      <c r="D111" s="57">
        <v>157764.26999999999</v>
      </c>
      <c r="E111" s="57"/>
    </row>
    <row r="112" spans="1:5" s="62" customFormat="1" ht="13.5" hidden="1" customHeight="1" x14ac:dyDescent="0.2">
      <c r="A112" s="75" t="s">
        <v>140</v>
      </c>
      <c r="B112" s="58"/>
      <c r="C112" s="58"/>
      <c r="D112" s="58">
        <f t="shared" ref="D112" si="15">D113</f>
        <v>0</v>
      </c>
      <c r="E112" s="58"/>
    </row>
    <row r="113" spans="1:5" s="1" customFormat="1" ht="13.5" hidden="1" customHeight="1" x14ac:dyDescent="0.2">
      <c r="A113" s="76" t="s">
        <v>98</v>
      </c>
      <c r="B113" s="59"/>
      <c r="C113" s="59"/>
      <c r="D113" s="59"/>
      <c r="E113" s="57"/>
    </row>
    <row r="114" spans="1:5" s="62" customFormat="1" ht="13.5" customHeight="1" x14ac:dyDescent="0.2">
      <c r="A114" s="75" t="s">
        <v>141</v>
      </c>
      <c r="B114" s="58"/>
      <c r="C114" s="58"/>
      <c r="D114" s="58">
        <f t="shared" ref="D114" si="16">SUM(D115:D121)</f>
        <v>458107.04000000004</v>
      </c>
      <c r="E114" s="58"/>
    </row>
    <row r="115" spans="1:5" s="1" customFormat="1" ht="12.75" x14ac:dyDescent="0.2">
      <c r="A115" s="76" t="s">
        <v>99</v>
      </c>
      <c r="B115" s="57"/>
      <c r="C115" s="57"/>
      <c r="D115" s="57">
        <v>6190.39</v>
      </c>
      <c r="E115" s="57"/>
    </row>
    <row r="116" spans="1:5" s="1" customFormat="1" ht="13.5" customHeight="1" x14ac:dyDescent="0.2">
      <c r="A116" s="76" t="s">
        <v>100</v>
      </c>
      <c r="B116" s="57"/>
      <c r="C116" s="57"/>
      <c r="D116" s="57">
        <v>35976</v>
      </c>
      <c r="E116" s="57"/>
    </row>
    <row r="117" spans="1:5" s="1" customFormat="1" ht="13.5" customHeight="1" x14ac:dyDescent="0.2">
      <c r="A117" s="76" t="s">
        <v>101</v>
      </c>
      <c r="B117" s="57"/>
      <c r="C117" s="57"/>
      <c r="D117" s="57">
        <v>1102.57</v>
      </c>
      <c r="E117" s="57"/>
    </row>
    <row r="118" spans="1:5" s="1" customFormat="1" ht="13.5" customHeight="1" x14ac:dyDescent="0.2">
      <c r="A118" s="76" t="s">
        <v>142</v>
      </c>
      <c r="B118" s="57"/>
      <c r="C118" s="57"/>
      <c r="D118" s="57">
        <v>3945.1</v>
      </c>
      <c r="E118" s="57"/>
    </row>
    <row r="119" spans="1:5" s="1" customFormat="1" ht="13.5" customHeight="1" x14ac:dyDescent="0.2">
      <c r="A119" s="76" t="s">
        <v>102</v>
      </c>
      <c r="B119" s="57"/>
      <c r="C119" s="57"/>
      <c r="D119" s="57">
        <v>232286.1</v>
      </c>
      <c r="E119" s="57"/>
    </row>
    <row r="120" spans="1:5" s="1" customFormat="1" ht="13.5" customHeight="1" x14ac:dyDescent="0.2">
      <c r="A120" s="76" t="s">
        <v>103</v>
      </c>
      <c r="B120" s="57"/>
      <c r="C120" s="57"/>
      <c r="D120" s="57">
        <v>7.7</v>
      </c>
      <c r="E120" s="57"/>
    </row>
    <row r="121" spans="1:5" s="1" customFormat="1" ht="13.5" customHeight="1" x14ac:dyDescent="0.2">
      <c r="A121" s="76" t="s">
        <v>104</v>
      </c>
      <c r="B121" s="57"/>
      <c r="C121" s="57"/>
      <c r="D121" s="57">
        <v>178599.18</v>
      </c>
      <c r="E121" s="57"/>
    </row>
    <row r="122" spans="1:5" s="1" customFormat="1" ht="13.5" customHeight="1" x14ac:dyDescent="0.2">
      <c r="A122" s="73" t="s">
        <v>51</v>
      </c>
      <c r="B122" s="58">
        <v>17519</v>
      </c>
      <c r="C122" s="58">
        <v>17519</v>
      </c>
      <c r="D122" s="58">
        <f>D123</f>
        <v>16609.02</v>
      </c>
      <c r="E122" s="58">
        <f>D122/C122*100</f>
        <v>94.805753753068103</v>
      </c>
    </row>
    <row r="123" spans="1:5" s="1" customFormat="1" ht="13.5" customHeight="1" x14ac:dyDescent="0.2">
      <c r="A123" s="75" t="s">
        <v>143</v>
      </c>
      <c r="B123" s="58"/>
      <c r="C123" s="58"/>
      <c r="D123" s="58">
        <f>SUM(D124:D126)</f>
        <v>16609.02</v>
      </c>
      <c r="E123" s="58"/>
    </row>
    <row r="124" spans="1:5" s="1" customFormat="1" ht="13.5" customHeight="1" x14ac:dyDescent="0.2">
      <c r="A124" s="76" t="s">
        <v>105</v>
      </c>
      <c r="B124" s="57"/>
      <c r="C124" s="57"/>
      <c r="D124" s="57">
        <v>16053.5</v>
      </c>
      <c r="E124" s="57"/>
    </row>
    <row r="125" spans="1:5" s="1" customFormat="1" ht="13.5" customHeight="1" x14ac:dyDescent="0.2">
      <c r="A125" s="76" t="s">
        <v>107</v>
      </c>
      <c r="B125" s="57"/>
      <c r="C125" s="57"/>
      <c r="D125" s="57">
        <v>555.52</v>
      </c>
      <c r="E125" s="57"/>
    </row>
    <row r="126" spans="1:5" s="1" customFormat="1" ht="13.5" hidden="1" customHeight="1" x14ac:dyDescent="0.2">
      <c r="A126" s="76" t="s">
        <v>108</v>
      </c>
      <c r="B126" s="57"/>
      <c r="C126" s="57"/>
      <c r="D126" s="59"/>
      <c r="E126" s="57"/>
    </row>
    <row r="127" spans="1:5" s="1" customFormat="1" ht="13.5" customHeight="1" x14ac:dyDescent="0.2">
      <c r="A127" s="73" t="s">
        <v>52</v>
      </c>
      <c r="B127" s="58">
        <v>60840</v>
      </c>
      <c r="C127" s="58">
        <v>60840</v>
      </c>
      <c r="D127" s="58">
        <f t="shared" ref="D127:D128" si="17">D128</f>
        <v>30420.06</v>
      </c>
      <c r="E127" s="58">
        <f>D127/C127*100</f>
        <v>50.000098619329393</v>
      </c>
    </row>
    <row r="128" spans="1:5" s="1" customFormat="1" ht="13.5" customHeight="1" x14ac:dyDescent="0.2">
      <c r="A128" s="75" t="s">
        <v>144</v>
      </c>
      <c r="B128" s="58"/>
      <c r="C128" s="58"/>
      <c r="D128" s="58">
        <f t="shared" si="17"/>
        <v>30420.06</v>
      </c>
      <c r="E128" s="58"/>
    </row>
    <row r="129" spans="1:5" s="1" customFormat="1" ht="13.5" customHeight="1" x14ac:dyDescent="0.2">
      <c r="A129" s="76" t="s">
        <v>145</v>
      </c>
      <c r="B129" s="57"/>
      <c r="C129" s="57"/>
      <c r="D129" s="57">
        <v>30420.06</v>
      </c>
      <c r="E129" s="57"/>
    </row>
    <row r="130" spans="1:5" s="1" customFormat="1" ht="13.5" customHeight="1" x14ac:dyDescent="0.2">
      <c r="A130" s="73" t="s">
        <v>53</v>
      </c>
      <c r="B130" s="58">
        <v>2514314</v>
      </c>
      <c r="C130" s="58">
        <v>2514314</v>
      </c>
      <c r="D130" s="58">
        <f>D131+D133+D135</f>
        <v>9452.4500000000007</v>
      </c>
      <c r="E130" s="58">
        <f>D130/C130*100</f>
        <v>0.37594548652236753</v>
      </c>
    </row>
    <row r="131" spans="1:5" s="1" customFormat="1" ht="13.5" hidden="1" customHeight="1" x14ac:dyDescent="0.2">
      <c r="A131" s="79" t="s">
        <v>146</v>
      </c>
      <c r="B131" s="58"/>
      <c r="C131" s="58"/>
      <c r="D131" s="58">
        <f t="shared" ref="D131" si="18">D132</f>
        <v>0</v>
      </c>
      <c r="E131" s="58"/>
    </row>
    <row r="132" spans="1:5" s="1" customFormat="1" ht="13.5" hidden="1" customHeight="1" x14ac:dyDescent="0.2">
      <c r="A132" s="76" t="s">
        <v>109</v>
      </c>
      <c r="B132" s="59"/>
      <c r="C132" s="59"/>
      <c r="D132" s="59"/>
      <c r="E132" s="57"/>
    </row>
    <row r="133" spans="1:5" s="62" customFormat="1" ht="13.5" customHeight="1" x14ac:dyDescent="0.2">
      <c r="A133" s="75" t="s">
        <v>147</v>
      </c>
      <c r="B133" s="58"/>
      <c r="C133" s="58"/>
      <c r="D133" s="58">
        <f t="shared" ref="D133" si="19">D134</f>
        <v>5475</v>
      </c>
      <c r="E133" s="58"/>
    </row>
    <row r="134" spans="1:5" s="1" customFormat="1" ht="12.75" x14ac:dyDescent="0.2">
      <c r="A134" s="77" t="s">
        <v>110</v>
      </c>
      <c r="B134" s="59"/>
      <c r="C134" s="59"/>
      <c r="D134" s="57">
        <v>5475</v>
      </c>
      <c r="E134" s="57"/>
    </row>
    <row r="135" spans="1:5" s="62" customFormat="1" ht="12.75" x14ac:dyDescent="0.2">
      <c r="A135" s="79" t="s">
        <v>148</v>
      </c>
      <c r="B135" s="58"/>
      <c r="C135" s="58"/>
      <c r="D135" s="58">
        <f t="shared" ref="D135" si="20">D136</f>
        <v>3977.45</v>
      </c>
      <c r="E135" s="58"/>
    </row>
    <row r="136" spans="1:5" s="1" customFormat="1" ht="12.75" x14ac:dyDescent="0.2">
      <c r="A136" s="77" t="s">
        <v>111</v>
      </c>
      <c r="B136" s="57"/>
      <c r="C136" s="57"/>
      <c r="D136" s="57">
        <v>3977.45</v>
      </c>
      <c r="E136" s="57"/>
    </row>
    <row r="137" spans="1:5" s="1" customFormat="1" ht="12.75" customHeight="1" x14ac:dyDescent="0.2">
      <c r="A137" s="73" t="s">
        <v>173</v>
      </c>
      <c r="B137" s="58">
        <v>84545</v>
      </c>
      <c r="C137" s="58">
        <v>84545</v>
      </c>
      <c r="D137" s="58">
        <f t="shared" ref="D137:D138" si="21">D138</f>
        <v>12984.45</v>
      </c>
      <c r="E137" s="58">
        <f>D137/C137*100</f>
        <v>15.35803418297948</v>
      </c>
    </row>
    <row r="138" spans="1:5" s="1" customFormat="1" ht="12.75" x14ac:dyDescent="0.2">
      <c r="A138" s="79" t="s">
        <v>149</v>
      </c>
      <c r="B138" s="58"/>
      <c r="C138" s="58"/>
      <c r="D138" s="58">
        <f t="shared" si="21"/>
        <v>12984.45</v>
      </c>
      <c r="E138" s="58"/>
    </row>
    <row r="139" spans="1:5" s="1" customFormat="1" ht="13.5" customHeight="1" x14ac:dyDescent="0.2">
      <c r="A139" s="76" t="s">
        <v>112</v>
      </c>
      <c r="B139" s="57"/>
      <c r="C139" s="57"/>
      <c r="D139" s="57">
        <v>12984.45</v>
      </c>
      <c r="E139" s="57"/>
    </row>
    <row r="140" spans="1:5" s="1" customFormat="1" ht="13.5" customHeight="1" x14ac:dyDescent="0.2">
      <c r="A140" s="73" t="s">
        <v>55</v>
      </c>
      <c r="B140" s="58">
        <v>3207451</v>
      </c>
      <c r="C140" s="58">
        <v>3207451</v>
      </c>
      <c r="D140" s="58">
        <f t="shared" ref="D140" si="22">D141+D143</f>
        <v>42245.22</v>
      </c>
      <c r="E140" s="58">
        <f>D140/C140*100</f>
        <v>1.3170963484711069</v>
      </c>
    </row>
    <row r="141" spans="1:5" s="1" customFormat="1" ht="13.5" customHeight="1" x14ac:dyDescent="0.2">
      <c r="A141" s="75" t="s">
        <v>150</v>
      </c>
      <c r="B141" s="58"/>
      <c r="C141" s="58"/>
      <c r="D141" s="58">
        <f t="shared" ref="D141" si="23">D142</f>
        <v>32600</v>
      </c>
      <c r="E141" s="58"/>
    </row>
    <row r="142" spans="1:5" s="1" customFormat="1" ht="13.5" customHeight="1" x14ac:dyDescent="0.2">
      <c r="A142" s="76" t="s">
        <v>113</v>
      </c>
      <c r="B142" s="57"/>
      <c r="C142" s="57"/>
      <c r="D142" s="57">
        <v>32600</v>
      </c>
      <c r="E142" s="57"/>
    </row>
    <row r="143" spans="1:5" s="62" customFormat="1" ht="13.5" customHeight="1" x14ac:dyDescent="0.2">
      <c r="A143" s="75" t="s">
        <v>151</v>
      </c>
      <c r="B143" s="58"/>
      <c r="C143" s="58"/>
      <c r="D143" s="58">
        <f t="shared" ref="D143" si="24">SUM(D144:D146)</f>
        <v>9645.2199999999993</v>
      </c>
      <c r="E143" s="58"/>
    </row>
    <row r="144" spans="1:5" s="1" customFormat="1" ht="13.5" hidden="1" customHeight="1" x14ac:dyDescent="0.2">
      <c r="A144" s="76" t="s">
        <v>114</v>
      </c>
      <c r="B144" s="57"/>
      <c r="C144" s="57"/>
      <c r="D144" s="57"/>
      <c r="E144" s="57"/>
    </row>
    <row r="145" spans="1:5" s="1" customFormat="1" ht="13.5" hidden="1" customHeight="1" x14ac:dyDescent="0.2">
      <c r="A145" s="76" t="s">
        <v>115</v>
      </c>
      <c r="B145" s="59"/>
      <c r="C145" s="59"/>
      <c r="D145" s="57"/>
      <c r="E145" s="57"/>
    </row>
    <row r="146" spans="1:5" s="1" customFormat="1" ht="13.5" customHeight="1" x14ac:dyDescent="0.2">
      <c r="A146" s="76" t="s">
        <v>116</v>
      </c>
      <c r="B146" s="57"/>
      <c r="C146" s="57"/>
      <c r="D146" s="57">
        <v>9645.2199999999993</v>
      </c>
      <c r="E146" s="57"/>
    </row>
    <row r="147" spans="1:5" s="1" customFormat="1" ht="13.5" customHeight="1" x14ac:dyDescent="0.2">
      <c r="A147" s="74" t="s">
        <v>9</v>
      </c>
      <c r="B147" s="67">
        <f>B148+B154+B172</f>
        <v>6175391</v>
      </c>
      <c r="C147" s="67">
        <f>C148+C154+C172</f>
        <v>6175391</v>
      </c>
      <c r="D147" s="67">
        <f>D148+D154+D172</f>
        <v>123881.95999999999</v>
      </c>
      <c r="E147" s="67">
        <f>D147/C147*100</f>
        <v>2.0060585637411461</v>
      </c>
    </row>
    <row r="148" spans="1:5" s="1" customFormat="1" ht="13.5" customHeight="1" x14ac:dyDescent="0.2">
      <c r="A148" s="73" t="s">
        <v>61</v>
      </c>
      <c r="B148" s="58">
        <v>1234322</v>
      </c>
      <c r="C148" s="58">
        <v>1234322</v>
      </c>
      <c r="D148" s="58">
        <f t="shared" ref="D148" si="25">D149+D151</f>
        <v>0</v>
      </c>
      <c r="E148" s="58">
        <f>D148/C148*100</f>
        <v>0</v>
      </c>
    </row>
    <row r="149" spans="1:5" s="1" customFormat="1" ht="13.5" hidden="1" customHeight="1" x14ac:dyDescent="0.2">
      <c r="A149" s="79" t="s">
        <v>152</v>
      </c>
      <c r="B149" s="58"/>
      <c r="C149" s="58"/>
      <c r="D149" s="58">
        <f t="shared" ref="D149" si="26">D150</f>
        <v>0</v>
      </c>
      <c r="E149" s="58"/>
    </row>
    <row r="150" spans="1:5" s="1" customFormat="1" ht="13.5" hidden="1" customHeight="1" x14ac:dyDescent="0.2">
      <c r="A150" s="76" t="s">
        <v>117</v>
      </c>
      <c r="B150" s="57"/>
      <c r="C150" s="57"/>
      <c r="D150" s="57"/>
      <c r="E150" s="57"/>
    </row>
    <row r="151" spans="1:5" s="62" customFormat="1" ht="13.5" hidden="1" customHeight="1" x14ac:dyDescent="0.2">
      <c r="A151" s="75" t="s">
        <v>153</v>
      </c>
      <c r="B151" s="58"/>
      <c r="C151" s="58"/>
      <c r="D151" s="58">
        <f t="shared" ref="D151" si="27">SUM(D152:D153)</f>
        <v>0</v>
      </c>
      <c r="E151" s="58"/>
    </row>
    <row r="152" spans="1:5" s="1" customFormat="1" ht="13.5" hidden="1" customHeight="1" x14ac:dyDescent="0.2">
      <c r="A152" s="76" t="s">
        <v>118</v>
      </c>
      <c r="B152" s="57"/>
      <c r="C152" s="57"/>
      <c r="D152" s="59"/>
      <c r="E152" s="57"/>
    </row>
    <row r="153" spans="1:5" s="1" customFormat="1" ht="13.5" hidden="1" customHeight="1" x14ac:dyDescent="0.2">
      <c r="A153" s="76" t="s">
        <v>119</v>
      </c>
      <c r="B153" s="57"/>
      <c r="C153" s="57"/>
      <c r="D153" s="57"/>
      <c r="E153" s="57"/>
    </row>
    <row r="154" spans="1:5" s="1" customFormat="1" ht="13.5" customHeight="1" x14ac:dyDescent="0.2">
      <c r="A154" s="73" t="s">
        <v>59</v>
      </c>
      <c r="B154" s="58">
        <v>3423487</v>
      </c>
      <c r="C154" s="58">
        <v>3423487</v>
      </c>
      <c r="D154" s="58">
        <f t="shared" ref="D154" si="28">D155+D157+D165+D168+D170</f>
        <v>50950.79</v>
      </c>
      <c r="E154" s="58">
        <f>D154/C154*100</f>
        <v>1.4882717533322021</v>
      </c>
    </row>
    <row r="155" spans="1:5" s="1" customFormat="1" ht="13.5" customHeight="1" x14ac:dyDescent="0.2">
      <c r="A155" s="79" t="s">
        <v>154</v>
      </c>
      <c r="B155" s="58"/>
      <c r="C155" s="58"/>
      <c r="D155" s="58">
        <f t="shared" ref="D155" si="29">D156</f>
        <v>3838.54</v>
      </c>
      <c r="E155" s="58"/>
    </row>
    <row r="156" spans="1:5" s="1" customFormat="1" ht="13.5" customHeight="1" x14ac:dyDescent="0.2">
      <c r="A156" s="76" t="s">
        <v>120</v>
      </c>
      <c r="B156" s="57"/>
      <c r="C156" s="57"/>
      <c r="D156" s="57">
        <v>3838.54</v>
      </c>
      <c r="E156" s="57"/>
    </row>
    <row r="157" spans="1:5" s="62" customFormat="1" ht="13.5" customHeight="1" x14ac:dyDescent="0.2">
      <c r="A157" s="75" t="s">
        <v>155</v>
      </c>
      <c r="B157" s="58"/>
      <c r="C157" s="58"/>
      <c r="D157" s="58">
        <f>SUM(D158:D164)</f>
        <v>44214.82</v>
      </c>
      <c r="E157" s="58"/>
    </row>
    <row r="158" spans="1:5" s="1" customFormat="1" ht="13.5" customHeight="1" x14ac:dyDescent="0.2">
      <c r="A158" s="76" t="s">
        <v>121</v>
      </c>
      <c r="B158" s="57"/>
      <c r="C158" s="57"/>
      <c r="D158" s="57">
        <v>28534.799999999999</v>
      </c>
      <c r="E158" s="57"/>
    </row>
    <row r="159" spans="1:5" s="1" customFormat="1" ht="13.5" customHeight="1" x14ac:dyDescent="0.2">
      <c r="A159" s="76" t="s">
        <v>122</v>
      </c>
      <c r="B159" s="57"/>
      <c r="C159" s="57"/>
      <c r="D159" s="57">
        <v>164.76</v>
      </c>
      <c r="E159" s="57"/>
    </row>
    <row r="160" spans="1:5" s="1" customFormat="1" ht="13.5" hidden="1" customHeight="1" x14ac:dyDescent="0.2">
      <c r="A160" s="76" t="s">
        <v>123</v>
      </c>
      <c r="B160" s="57"/>
      <c r="C160" s="57"/>
      <c r="D160" s="57"/>
      <c r="E160" s="57"/>
    </row>
    <row r="161" spans="1:5" s="1" customFormat="1" ht="13.5" customHeight="1" x14ac:dyDescent="0.2">
      <c r="A161" s="76" t="s">
        <v>124</v>
      </c>
      <c r="B161" s="57"/>
      <c r="C161" s="57"/>
      <c r="D161" s="57">
        <v>591.5</v>
      </c>
      <c r="E161" s="57"/>
    </row>
    <row r="162" spans="1:5" s="1" customFormat="1" ht="13.5" customHeight="1" x14ac:dyDescent="0.2">
      <c r="A162" s="76" t="s">
        <v>125</v>
      </c>
      <c r="B162" s="57"/>
      <c r="C162" s="57"/>
      <c r="D162" s="57">
        <v>3531.25</v>
      </c>
      <c r="E162" s="57"/>
    </row>
    <row r="163" spans="1:5" s="1" customFormat="1" ht="13.5" hidden="1" customHeight="1" x14ac:dyDescent="0.2">
      <c r="A163" s="76" t="s">
        <v>126</v>
      </c>
      <c r="B163" s="57"/>
      <c r="C163" s="57"/>
      <c r="D163" s="57"/>
      <c r="E163" s="57"/>
    </row>
    <row r="164" spans="1:5" s="1" customFormat="1" ht="13.5" customHeight="1" x14ac:dyDescent="0.2">
      <c r="A164" s="76" t="s">
        <v>127</v>
      </c>
      <c r="B164" s="57"/>
      <c r="C164" s="57"/>
      <c r="D164" s="57">
        <v>11392.51</v>
      </c>
      <c r="E164" s="57"/>
    </row>
    <row r="165" spans="1:5" s="62" customFormat="1" ht="13.5" hidden="1" customHeight="1" x14ac:dyDescent="0.2">
      <c r="A165" s="75" t="s">
        <v>156</v>
      </c>
      <c r="B165" s="58"/>
      <c r="C165" s="58"/>
      <c r="D165" s="58">
        <f t="shared" ref="D165" si="30">SUM(D166:D167)</f>
        <v>0</v>
      </c>
      <c r="E165" s="58"/>
    </row>
    <row r="166" spans="1:5" s="1" customFormat="1" ht="13.5" hidden="1" customHeight="1" x14ac:dyDescent="0.2">
      <c r="A166" s="76" t="s">
        <v>128</v>
      </c>
      <c r="B166" s="57"/>
      <c r="C166" s="57"/>
      <c r="D166" s="57"/>
      <c r="E166" s="57"/>
    </row>
    <row r="167" spans="1:5" s="1" customFormat="1" ht="13.5" hidden="1" customHeight="1" x14ac:dyDescent="0.2">
      <c r="A167" s="77" t="s">
        <v>129</v>
      </c>
      <c r="B167" s="57"/>
      <c r="C167" s="57"/>
      <c r="D167" s="57"/>
      <c r="E167" s="57"/>
    </row>
    <row r="168" spans="1:5" s="62" customFormat="1" ht="13.5" customHeight="1" x14ac:dyDescent="0.2">
      <c r="A168" s="79" t="s">
        <v>157</v>
      </c>
      <c r="B168" s="58"/>
      <c r="C168" s="58"/>
      <c r="D168" s="58">
        <f t="shared" ref="D168" si="31">D169</f>
        <v>305.8</v>
      </c>
      <c r="E168" s="58"/>
    </row>
    <row r="169" spans="1:5" s="1" customFormat="1" ht="13.5" customHeight="1" x14ac:dyDescent="0.2">
      <c r="A169" s="76" t="s">
        <v>130</v>
      </c>
      <c r="B169" s="57"/>
      <c r="C169" s="57"/>
      <c r="D169" s="57">
        <v>305.8</v>
      </c>
      <c r="E169" s="57"/>
    </row>
    <row r="170" spans="1:5" s="62" customFormat="1" ht="13.5" customHeight="1" x14ac:dyDescent="0.2">
      <c r="A170" s="75" t="s">
        <v>158</v>
      </c>
      <c r="B170" s="58"/>
      <c r="C170" s="58"/>
      <c r="D170" s="58">
        <f t="shared" ref="D170" si="32">D171</f>
        <v>2591.63</v>
      </c>
      <c r="E170" s="58"/>
    </row>
    <row r="171" spans="1:5" s="1" customFormat="1" ht="13.5" customHeight="1" x14ac:dyDescent="0.2">
      <c r="A171" s="76" t="s">
        <v>131</v>
      </c>
      <c r="B171" s="57"/>
      <c r="C171" s="57"/>
      <c r="D171" s="57">
        <v>2591.63</v>
      </c>
      <c r="E171" s="57"/>
    </row>
    <row r="172" spans="1:5" s="1" customFormat="1" ht="13.5" customHeight="1" x14ac:dyDescent="0.2">
      <c r="A172" s="73" t="s">
        <v>60</v>
      </c>
      <c r="B172" s="58">
        <v>1517582</v>
      </c>
      <c r="C172" s="58">
        <v>1517582</v>
      </c>
      <c r="D172" s="58">
        <f>D173+D175</f>
        <v>72931.17</v>
      </c>
      <c r="E172" s="58">
        <f>D172/C172*100</f>
        <v>4.805748223160264</v>
      </c>
    </row>
    <row r="173" spans="1:5" s="1" customFormat="1" ht="13.5" customHeight="1" x14ac:dyDescent="0.2">
      <c r="A173" s="79" t="s">
        <v>159</v>
      </c>
      <c r="B173" s="58"/>
      <c r="C173" s="58"/>
      <c r="D173" s="58">
        <f t="shared" ref="D173" si="33">D174</f>
        <v>72931.17</v>
      </c>
      <c r="E173" s="58"/>
    </row>
    <row r="174" spans="1:5" s="1" customFormat="1" ht="13.5" customHeight="1" x14ac:dyDescent="0.2">
      <c r="A174" s="76" t="s">
        <v>132</v>
      </c>
      <c r="B174" s="57"/>
      <c r="C174" s="57"/>
      <c r="D174" s="57">
        <v>72931.17</v>
      </c>
      <c r="E174" s="57"/>
    </row>
    <row r="175" spans="1:5" s="62" customFormat="1" ht="13.5" hidden="1" customHeight="1" x14ac:dyDescent="0.2">
      <c r="A175" s="75" t="s">
        <v>160</v>
      </c>
      <c r="B175" s="58"/>
      <c r="C175" s="58"/>
      <c r="D175" s="58">
        <f t="shared" ref="D175" si="34">D176</f>
        <v>0</v>
      </c>
      <c r="E175" s="58"/>
    </row>
    <row r="176" spans="1:5" s="1" customFormat="1" ht="13.5" hidden="1" customHeight="1" x14ac:dyDescent="0.2">
      <c r="A176" s="76" t="s">
        <v>133</v>
      </c>
      <c r="B176" s="57"/>
      <c r="C176" s="57"/>
      <c r="D176" s="57"/>
      <c r="E176" s="57"/>
    </row>
    <row r="177" spans="1:5" ht="13.5" customHeight="1" x14ac:dyDescent="0.2">
      <c r="A177" s="72" t="s">
        <v>28</v>
      </c>
      <c r="B177" s="27">
        <f>B178</f>
        <v>125906</v>
      </c>
      <c r="C177" s="27">
        <f t="shared" ref="C177:D177" si="35">C178</f>
        <v>125906</v>
      </c>
      <c r="D177" s="27">
        <f t="shared" si="35"/>
        <v>5733.24</v>
      </c>
      <c r="E177" s="28">
        <f t="shared" ref="E177:E178" si="36">D177/C177*100</f>
        <v>4.5535875970962456</v>
      </c>
    </row>
    <row r="178" spans="1:5" ht="13.5" customHeight="1" x14ac:dyDescent="0.2">
      <c r="A178" s="72" t="s">
        <v>56</v>
      </c>
      <c r="B178" s="27">
        <f>B179+B183</f>
        <v>125906</v>
      </c>
      <c r="C178" s="27">
        <f t="shared" ref="C178:D178" si="37">C179+C183</f>
        <v>125906</v>
      </c>
      <c r="D178" s="27">
        <f t="shared" si="37"/>
        <v>5733.24</v>
      </c>
      <c r="E178" s="28">
        <f t="shared" si="36"/>
        <v>4.5535875970962456</v>
      </c>
    </row>
    <row r="179" spans="1:5" ht="13.5" customHeight="1" x14ac:dyDescent="0.2">
      <c r="A179" s="43" t="s">
        <v>8</v>
      </c>
      <c r="B179" s="24">
        <f>B180</f>
        <v>14130</v>
      </c>
      <c r="C179" s="24">
        <f t="shared" ref="C179:D179" si="38">C180</f>
        <v>14130</v>
      </c>
      <c r="D179" s="24">
        <f t="shared" si="38"/>
        <v>5733.24</v>
      </c>
      <c r="E179" s="25">
        <f>D179/C179*100</f>
        <v>40.574946921443733</v>
      </c>
    </row>
    <row r="180" spans="1:5" ht="13.5" customHeight="1" x14ac:dyDescent="0.2">
      <c r="A180" s="73" t="s">
        <v>50</v>
      </c>
      <c r="B180" s="58">
        <v>14130</v>
      </c>
      <c r="C180" s="58">
        <v>14130</v>
      </c>
      <c r="D180" s="58">
        <f>D181+D183+D185</f>
        <v>5733.24</v>
      </c>
      <c r="E180" s="58">
        <f>D180/C180*100</f>
        <v>40.574946921443733</v>
      </c>
    </row>
    <row r="181" spans="1:5" ht="13.5" customHeight="1" x14ac:dyDescent="0.2">
      <c r="A181" s="75" t="s">
        <v>139</v>
      </c>
      <c r="B181" s="58"/>
      <c r="C181" s="58"/>
      <c r="D181" s="58">
        <f>D182</f>
        <v>5733.24</v>
      </c>
      <c r="E181" s="58"/>
    </row>
    <row r="182" spans="1:5" ht="13.5" customHeight="1" x14ac:dyDescent="0.2">
      <c r="A182" s="76" t="s">
        <v>93</v>
      </c>
      <c r="B182" s="57"/>
      <c r="C182" s="57"/>
      <c r="D182" s="57">
        <v>5733.24</v>
      </c>
      <c r="E182" s="57"/>
    </row>
    <row r="183" spans="1:5" x14ac:dyDescent="0.2">
      <c r="A183" s="78" t="s">
        <v>9</v>
      </c>
      <c r="B183" s="67">
        <f>B184</f>
        <v>111776</v>
      </c>
      <c r="C183" s="67">
        <f t="shared" ref="C183" si="39">C184</f>
        <v>111776</v>
      </c>
      <c r="D183" s="67">
        <f>D184</f>
        <v>0</v>
      </c>
      <c r="E183" s="67">
        <f>D183/C183*100</f>
        <v>0</v>
      </c>
    </row>
    <row r="184" spans="1:5" x14ac:dyDescent="0.2">
      <c r="A184" s="73" t="s">
        <v>59</v>
      </c>
      <c r="B184" s="58">
        <v>111776</v>
      </c>
      <c r="C184" s="58">
        <v>111776</v>
      </c>
      <c r="D184" s="58">
        <f>D185+D187</f>
        <v>0</v>
      </c>
      <c r="E184" s="58">
        <f>D184/C184*100</f>
        <v>0</v>
      </c>
    </row>
    <row r="185" spans="1:5" hidden="1" x14ac:dyDescent="0.2">
      <c r="A185" s="75" t="s">
        <v>155</v>
      </c>
      <c r="B185" s="58"/>
      <c r="C185" s="58"/>
      <c r="D185" s="58">
        <f t="shared" ref="D185:D187" si="40">D186</f>
        <v>0</v>
      </c>
      <c r="E185" s="58"/>
    </row>
    <row r="186" spans="1:5" hidden="1" x14ac:dyDescent="0.2">
      <c r="A186" s="76" t="s">
        <v>127</v>
      </c>
      <c r="B186" s="57"/>
      <c r="C186" s="57"/>
      <c r="D186" s="57"/>
      <c r="E186" s="57"/>
    </row>
    <row r="187" spans="1:5" hidden="1" x14ac:dyDescent="0.2">
      <c r="A187" s="75" t="s">
        <v>156</v>
      </c>
      <c r="B187" s="58"/>
      <c r="C187" s="58"/>
      <c r="D187" s="58">
        <f t="shared" si="40"/>
        <v>0</v>
      </c>
      <c r="E187" s="58"/>
    </row>
    <row r="188" spans="1:5" hidden="1" x14ac:dyDescent="0.2">
      <c r="A188" s="76" t="s">
        <v>128</v>
      </c>
      <c r="B188" s="57"/>
      <c r="C188" s="57"/>
      <c r="D188" s="59"/>
      <c r="E188" s="57"/>
    </row>
    <row r="189" spans="1:5" ht="13.5" customHeight="1" x14ac:dyDescent="0.2">
      <c r="A189" s="72" t="s">
        <v>29</v>
      </c>
      <c r="B189" s="27">
        <f>B190</f>
        <v>20097</v>
      </c>
      <c r="C189" s="27">
        <f t="shared" ref="C189:D189" si="41">C190</f>
        <v>20097</v>
      </c>
      <c r="D189" s="27">
        <f t="shared" si="41"/>
        <v>0</v>
      </c>
      <c r="E189" s="28">
        <f t="shared" ref="E189:E190" si="42">D189/C189*100</f>
        <v>0</v>
      </c>
    </row>
    <row r="190" spans="1:5" ht="13.5" customHeight="1" x14ac:dyDescent="0.2">
      <c r="A190" s="72" t="s">
        <v>30</v>
      </c>
      <c r="B190" s="27">
        <f>B191</f>
        <v>20097</v>
      </c>
      <c r="C190" s="27">
        <f t="shared" ref="C190" si="43">C191</f>
        <v>20097</v>
      </c>
      <c r="D190" s="27">
        <f t="shared" ref="D190" si="44">D191</f>
        <v>0</v>
      </c>
      <c r="E190" s="28">
        <f t="shared" si="42"/>
        <v>0</v>
      </c>
    </row>
    <row r="191" spans="1:5" ht="13.5" customHeight="1" x14ac:dyDescent="0.2">
      <c r="A191" s="43" t="s">
        <v>8</v>
      </c>
      <c r="B191" s="24">
        <f>B192</f>
        <v>20097</v>
      </c>
      <c r="C191" s="24">
        <f t="shared" ref="C191" si="45">C192</f>
        <v>20097</v>
      </c>
      <c r="D191" s="24">
        <f t="shared" ref="D191:D192" si="46">D192</f>
        <v>0</v>
      </c>
      <c r="E191" s="25">
        <f>D191/C191*100</f>
        <v>0</v>
      </c>
    </row>
    <row r="192" spans="1:5" ht="13.5" customHeight="1" x14ac:dyDescent="0.2">
      <c r="A192" s="73" t="s">
        <v>50</v>
      </c>
      <c r="B192" s="58">
        <v>20097</v>
      </c>
      <c r="C192" s="58">
        <v>20097</v>
      </c>
      <c r="D192" s="58">
        <f t="shared" si="46"/>
        <v>0</v>
      </c>
      <c r="E192" s="58">
        <f>D192/C192*100</f>
        <v>0</v>
      </c>
    </row>
    <row r="193" spans="1:5" ht="13.5" hidden="1" customHeight="1" x14ac:dyDescent="0.2">
      <c r="A193" s="75" t="s">
        <v>139</v>
      </c>
      <c r="B193" s="58"/>
      <c r="C193" s="58"/>
      <c r="D193" s="58">
        <f>D194</f>
        <v>0</v>
      </c>
      <c r="E193" s="58"/>
    </row>
    <row r="194" spans="1:5" ht="13.5" hidden="1" customHeight="1" x14ac:dyDescent="0.2">
      <c r="A194" s="76" t="s">
        <v>97</v>
      </c>
      <c r="B194" s="57"/>
      <c r="C194" s="57"/>
      <c r="D194" s="57"/>
      <c r="E194" s="57"/>
    </row>
  </sheetData>
  <mergeCells count="3">
    <mergeCell ref="A1:E1"/>
    <mergeCell ref="A3:E3"/>
    <mergeCell ref="A4:E4"/>
  </mergeCells>
  <phoneticPr fontId="18" type="noConversion"/>
  <printOptions horizontalCentered="1"/>
  <pageMargins left="0.11811023622047245" right="0.11811023622047245" top="0.55118110236220474" bottom="0.35433070866141736" header="0.31496062992125984" footer="0.11811023622047245"/>
  <pageSetup paperSize="9" orientation="landscape" horizontalDpi="4294967295" verticalDpi="4294967295" r:id="rId1"/>
  <headerFooter>
    <oddFooter>&amp;C
&amp;"Arial,Uobičajeno"&amp;9Stranica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Sažetak</vt:lpstr>
      <vt:lpstr>Izvještaj po ekonomskoj klasif</vt:lpstr>
      <vt:lpstr>Izvještaj po izvorima financir</vt:lpstr>
      <vt:lpstr>Izvještaj po funkcijskoj klasif</vt:lpstr>
      <vt:lpstr>Posebni dio</vt:lpstr>
      <vt:lpstr>'Izvještaj po ekonomskoj klasif'!Ispis_naslova</vt:lpstr>
      <vt:lpstr>'Izvještaj po funkcijskoj klasif'!Ispis_naslova</vt:lpstr>
      <vt:lpstr>'Izvještaj po izvorima financir'!Ispis_naslova</vt:lpstr>
      <vt:lpstr>'Posebni dio'!Ispis_naslova</vt:lpstr>
      <vt:lpstr>'Izvještaj po ekonomskoj klasif'!Podrucje_ispisa</vt:lpstr>
      <vt:lpstr>'Izvještaj po funkcijskoj klasif'!Podrucje_ispisa</vt:lpstr>
      <vt:lpstr>'Izvještaj po izvorima financir'!Podrucje_ispisa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Silvija Rubčić Kovačić</cp:lastModifiedBy>
  <cp:lastPrinted>2023-07-13T11:12:13Z</cp:lastPrinted>
  <dcterms:created xsi:type="dcterms:W3CDTF">2023-07-05T09:57:13Z</dcterms:created>
  <dcterms:modified xsi:type="dcterms:W3CDTF">2023-07-28T06:34:33Z</dcterms:modified>
</cp:coreProperties>
</file>