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ovacic\Documents\PLAN I ANALIZA\WEB\"/>
    </mc:Choice>
  </mc:AlternateContent>
  <bookViews>
    <workbookView xWindow="2430" yWindow="75" windowWidth="22950" windowHeight="20820" tabRatio="806"/>
  </bookViews>
  <sheets>
    <sheet name="Sažetak" sheetId="1" r:id="rId1"/>
    <sheet name="Izvještaj po ekonomskoj klasif" sheetId="2" r:id="rId2"/>
    <sheet name="Izvještaj po izvorima financir" sheetId="3" r:id="rId3"/>
    <sheet name="Izvještaj po funkcijskoj klasif" sheetId="4" r:id="rId4"/>
    <sheet name="Posebni dio" sheetId="8" r:id="rId5"/>
  </sheets>
  <externalReferences>
    <externalReference r:id="rId6"/>
    <externalReference r:id="rId7"/>
  </externalReferences>
  <definedNames>
    <definedName name="đpđpđšpđšp" localSheetId="0">#REF!</definedName>
    <definedName name="đpđpđšpđšp">#REF!</definedName>
    <definedName name="_xlnm.Print_Titles" localSheetId="1">'Izvještaj po ekonomskoj klasif'!$7:$8</definedName>
    <definedName name="_xlnm.Print_Titles" localSheetId="3">'Izvještaj po funkcijskoj klasif'!$7:$8</definedName>
    <definedName name="_xlnm.Print_Titles" localSheetId="2">'Izvještaj po izvorima financir'!$7:$8</definedName>
    <definedName name="_xlnm.Print_Titles" localSheetId="4">'Posebni dio'!$7:$8</definedName>
    <definedName name="_xlnm.Print_Area" localSheetId="1">'Izvještaj po ekonomskoj klasif'!$A$1:$H$144</definedName>
    <definedName name="_xlnm.Print_Area" localSheetId="3">'Izvještaj po funkcijskoj klasif'!$A$1:$H$11</definedName>
    <definedName name="_xlnm.Print_Area" localSheetId="2">'Izvještaj po izvorima financir'!$A$1:$H$31</definedName>
    <definedName name="_xlnm.Print_Area" localSheetId="4">'Posebni dio'!$A$1:$F$148</definedName>
    <definedName name="_xlnm.Print_Area" localSheetId="0">Sažetak!$A$1:$G$28</definedName>
    <definedName name="SvePozicije">'[1]Sveukupno (2)'!$A:$A</definedName>
    <definedName name="t" localSheetId="0">'[2]Plan inv.''12.cto - ID 08.11.''12'!#REF!</definedName>
    <definedName name="t">'[2]Plan inv.''12.cto - ID 08.11.''12'!#REF!</definedName>
    <definedName name="Ulaganja" localSheetId="0">'[2]Plan inv.''12.cto - ID 08.11.''12'!#REF!</definedName>
    <definedName name="Ulaganja">'[2]Plan inv.''12.cto - ID 08.11.''12'!#REF!</definedName>
    <definedName name="Ulaganja_na_tuđoj_imovini" localSheetId="0">'[2]Plan inv.''12.cto - ID 08.11.''12'!#REF!</definedName>
    <definedName name="Ulaganja_na_tuđoj_imovini">'[2]Plan inv.''12.cto - ID 08.11.''12'!#REF!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G23" i="1"/>
  <c r="F23" i="1"/>
  <c r="G22" i="1"/>
  <c r="F22" i="1"/>
  <c r="G26" i="1" l="1"/>
  <c r="G25" i="1"/>
  <c r="G13" i="1"/>
  <c r="G12" i="1"/>
  <c r="G10" i="1"/>
  <c r="G9" i="1"/>
  <c r="E16" i="8" l="1"/>
  <c r="E15" i="8"/>
  <c r="E54" i="8"/>
  <c r="G29" i="3"/>
  <c r="C106" i="2"/>
  <c r="F106" i="2"/>
  <c r="F95" i="2"/>
  <c r="C45" i="2"/>
  <c r="C43" i="2"/>
  <c r="F43" i="2"/>
  <c r="F98" i="2"/>
  <c r="C98" i="2"/>
  <c r="E114" i="8" l="1"/>
  <c r="F109" i="2"/>
  <c r="G118" i="2"/>
  <c r="G120" i="2"/>
  <c r="G91" i="2"/>
  <c r="G58" i="2"/>
  <c r="G17" i="3"/>
  <c r="C80" i="2"/>
  <c r="C114" i="2"/>
  <c r="G114" i="2" s="1"/>
  <c r="C112" i="2"/>
  <c r="C105" i="2"/>
  <c r="C102" i="2"/>
  <c r="C97" i="2"/>
  <c r="G97" i="2" s="1"/>
  <c r="C94" i="2"/>
  <c r="C90" i="2"/>
  <c r="C89" i="2"/>
  <c r="C88" i="2"/>
  <c r="C85" i="2"/>
  <c r="C84" i="2"/>
  <c r="C83" i="2"/>
  <c r="C82" i="2"/>
  <c r="C81" i="2"/>
  <c r="C79" i="2"/>
  <c r="C77" i="2"/>
  <c r="G77" i="2" s="1"/>
  <c r="C75" i="2"/>
  <c r="C74" i="2"/>
  <c r="C73" i="2"/>
  <c r="C72" i="2"/>
  <c r="C71" i="2"/>
  <c r="C70" i="2"/>
  <c r="C69" i="2"/>
  <c r="C68" i="2"/>
  <c r="C67" i="2"/>
  <c r="C65" i="2"/>
  <c r="C64" i="2"/>
  <c r="C63" i="2"/>
  <c r="G63" i="2" s="1"/>
  <c r="C62" i="2"/>
  <c r="C61" i="2"/>
  <c r="C60" i="2"/>
  <c r="F54" i="2"/>
  <c r="C58" i="2"/>
  <c r="C57" i="2"/>
  <c r="C56" i="2"/>
  <c r="C55" i="2"/>
  <c r="C54" i="2" s="1"/>
  <c r="C52" i="2"/>
  <c r="C51" i="2"/>
  <c r="C49" i="2"/>
  <c r="C47" i="2"/>
  <c r="G47" i="2" s="1"/>
  <c r="C46" i="2"/>
  <c r="C142" i="2"/>
  <c r="C139" i="2"/>
  <c r="G139" i="2" s="1"/>
  <c r="C137" i="2"/>
  <c r="G137" i="2" s="1"/>
  <c r="C134" i="2"/>
  <c r="G134" i="2" s="1"/>
  <c r="C132" i="2"/>
  <c r="C130" i="2"/>
  <c r="G130" i="2" s="1"/>
  <c r="C128" i="2"/>
  <c r="G128" i="2" s="1"/>
  <c r="C127" i="2"/>
  <c r="C126" i="2"/>
  <c r="C124" i="2"/>
  <c r="C121" i="2"/>
  <c r="C38" i="2"/>
  <c r="C36" i="2"/>
  <c r="G36" i="2" s="1"/>
  <c r="F35" i="2"/>
  <c r="C32" i="2"/>
  <c r="C27" i="2"/>
  <c r="G27" i="2" s="1"/>
  <c r="C25" i="2"/>
  <c r="C24" i="2"/>
  <c r="C21" i="2"/>
  <c r="C18" i="2"/>
  <c r="C16" i="2"/>
  <c r="C13" i="2"/>
  <c r="C11" i="4"/>
  <c r="C10" i="4" s="1"/>
  <c r="C31" i="3"/>
  <c r="C29" i="3"/>
  <c r="G31" i="3"/>
  <c r="F30" i="3"/>
  <c r="E30" i="3"/>
  <c r="D30" i="3"/>
  <c r="C30" i="3"/>
  <c r="C27" i="3"/>
  <c r="C25" i="3"/>
  <c r="C23" i="3"/>
  <c r="C19" i="3"/>
  <c r="C17" i="3"/>
  <c r="C15" i="3"/>
  <c r="C13" i="3"/>
  <c r="C11" i="3"/>
  <c r="B26" i="1"/>
  <c r="F26" i="1" s="1"/>
  <c r="B13" i="1"/>
  <c r="F13" i="1" s="1"/>
  <c r="B12" i="1"/>
  <c r="F12" i="1" s="1"/>
  <c r="B10" i="1"/>
  <c r="F10" i="1" s="1"/>
  <c r="B9" i="1"/>
  <c r="F9" i="1" s="1"/>
  <c r="F10" i="4"/>
  <c r="H10" i="4" s="1"/>
  <c r="E10" i="4"/>
  <c r="E9" i="4" s="1"/>
  <c r="D10" i="4"/>
  <c r="D9" i="4" s="1"/>
  <c r="E147" i="8"/>
  <c r="E146" i="8" s="1"/>
  <c r="E13" i="8" s="1"/>
  <c r="E143" i="8"/>
  <c r="E141" i="8"/>
  <c r="E137" i="8"/>
  <c r="E124" i="8"/>
  <c r="E120" i="8"/>
  <c r="E112" i="8"/>
  <c r="E107" i="8"/>
  <c r="E105" i="8"/>
  <c r="E101" i="8"/>
  <c r="E74" i="8"/>
  <c r="E68" i="8"/>
  <c r="E64" i="8"/>
  <c r="E49" i="8"/>
  <c r="E22" i="8"/>
  <c r="E17" i="8"/>
  <c r="D15" i="8"/>
  <c r="C15" i="8"/>
  <c r="D16" i="8"/>
  <c r="D10" i="8" s="1"/>
  <c r="C16" i="8"/>
  <c r="C10" i="8" s="1"/>
  <c r="D67" i="8"/>
  <c r="D11" i="8" s="1"/>
  <c r="C67" i="8"/>
  <c r="C11" i="8" s="1"/>
  <c r="D140" i="8"/>
  <c r="D12" i="8" s="1"/>
  <c r="C140" i="8"/>
  <c r="C12" i="8" s="1"/>
  <c r="D146" i="8"/>
  <c r="D13" i="8" s="1"/>
  <c r="C146" i="8"/>
  <c r="C13" i="8" s="1"/>
  <c r="E20" i="1"/>
  <c r="D20" i="1"/>
  <c r="C20" i="1"/>
  <c r="B20" i="1"/>
  <c r="D27" i="1"/>
  <c r="G27" i="1" s="1"/>
  <c r="C27" i="1"/>
  <c r="F45" i="2"/>
  <c r="E140" i="8" l="1"/>
  <c r="E12" i="8" s="1"/>
  <c r="C109" i="2"/>
  <c r="E67" i="8"/>
  <c r="E11" i="8" s="1"/>
  <c r="E10" i="8"/>
  <c r="F9" i="4"/>
  <c r="C35" i="2"/>
  <c r="G35" i="2" s="1"/>
  <c r="G10" i="4"/>
  <c r="C9" i="4"/>
  <c r="G30" i="3"/>
  <c r="C14" i="8"/>
  <c r="D14" i="8"/>
  <c r="F101" i="8"/>
  <c r="F49" i="8"/>
  <c r="F112" i="8"/>
  <c r="F105" i="8"/>
  <c r="G9" i="4" l="1"/>
  <c r="E14" i="8"/>
  <c r="F74" i="8"/>
  <c r="F54" i="8"/>
  <c r="F146" i="8"/>
  <c r="F147" i="8"/>
  <c r="F64" i="8"/>
  <c r="F140" i="8" l="1"/>
  <c r="F143" i="8"/>
  <c r="F120" i="8"/>
  <c r="F68" i="8"/>
  <c r="F141" i="8"/>
  <c r="F17" i="8"/>
  <c r="F107" i="8"/>
  <c r="F137" i="8"/>
  <c r="F124" i="8"/>
  <c r="F22" i="8"/>
  <c r="F114" i="8"/>
  <c r="F13" i="8" l="1"/>
  <c r="F9" i="8" l="1"/>
  <c r="F14" i="8"/>
  <c r="F67" i="8"/>
  <c r="F16" i="8"/>
  <c r="F11" i="8" l="1"/>
  <c r="F10" i="8"/>
  <c r="F15" i="8" l="1"/>
  <c r="F12" i="8"/>
  <c r="E43" i="2" l="1"/>
  <c r="D43" i="2"/>
  <c r="E115" i="2"/>
  <c r="D115" i="2"/>
  <c r="F59" i="2"/>
  <c r="F66" i="2"/>
  <c r="F76" i="2"/>
  <c r="F78" i="2"/>
  <c r="F87" i="2"/>
  <c r="F86" i="2" s="1"/>
  <c r="E10" i="2"/>
  <c r="D10" i="2"/>
  <c r="E33" i="2"/>
  <c r="D33" i="2"/>
  <c r="F50" i="2"/>
  <c r="F48" i="2"/>
  <c r="F93" i="2"/>
  <c r="F92" i="2" s="1"/>
  <c r="F96" i="2"/>
  <c r="F101" i="2"/>
  <c r="F104" i="2"/>
  <c r="F103" i="2" s="1"/>
  <c r="F107" i="2"/>
  <c r="F111" i="2"/>
  <c r="F115" i="2"/>
  <c r="F42" i="2" s="1"/>
  <c r="F117" i="2"/>
  <c r="F119" i="2"/>
  <c r="F123" i="2"/>
  <c r="F125" i="2"/>
  <c r="F133" i="2"/>
  <c r="F136" i="2"/>
  <c r="F138" i="2"/>
  <c r="F141" i="2"/>
  <c r="F143" i="2"/>
  <c r="C76" i="2"/>
  <c r="C96" i="2"/>
  <c r="C117" i="2"/>
  <c r="C133" i="2"/>
  <c r="C136" i="2"/>
  <c r="C138" i="2"/>
  <c r="G76" i="2" l="1"/>
  <c r="G138" i="2"/>
  <c r="G96" i="2"/>
  <c r="G136" i="2"/>
  <c r="G133" i="2"/>
  <c r="G117" i="2"/>
  <c r="F116" i="2"/>
  <c r="F53" i="2"/>
  <c r="F140" i="2"/>
  <c r="F122" i="2"/>
  <c r="F44" i="2"/>
  <c r="E42" i="2"/>
  <c r="D42" i="2"/>
  <c r="G11" i="4" l="1"/>
  <c r="H11" i="4"/>
  <c r="H9" i="4"/>
  <c r="C144" i="2" l="1"/>
  <c r="C115" i="2" s="1"/>
  <c r="G132" i="2"/>
  <c r="G127" i="2"/>
  <c r="G126" i="2"/>
  <c r="C108" i="2"/>
  <c r="C99" i="2"/>
  <c r="G90" i="2"/>
  <c r="G89" i="2"/>
  <c r="G85" i="2"/>
  <c r="G84" i="2"/>
  <c r="G83" i="2"/>
  <c r="G82" i="2"/>
  <c r="G81" i="2"/>
  <c r="G80" i="2"/>
  <c r="G75" i="2"/>
  <c r="G74" i="2"/>
  <c r="G73" i="2"/>
  <c r="G72" i="2"/>
  <c r="G71" i="2"/>
  <c r="G70" i="2"/>
  <c r="G69" i="2"/>
  <c r="G68" i="2"/>
  <c r="G65" i="2"/>
  <c r="G64" i="2"/>
  <c r="G62" i="2"/>
  <c r="G61" i="2"/>
  <c r="G57" i="2"/>
  <c r="G56" i="2"/>
  <c r="G52" i="2"/>
  <c r="H44" i="2"/>
  <c r="H140" i="2"/>
  <c r="H122" i="2"/>
  <c r="H116" i="2"/>
  <c r="H115" i="2"/>
  <c r="H106" i="2"/>
  <c r="H103" i="2"/>
  <c r="H95" i="2"/>
  <c r="H92" i="2"/>
  <c r="H86" i="2"/>
  <c r="H53" i="2"/>
  <c r="H43" i="2"/>
  <c r="F37" i="2"/>
  <c r="F34" i="2" s="1"/>
  <c r="F33" i="2" s="1"/>
  <c r="C31" i="2"/>
  <c r="G25" i="2"/>
  <c r="G24" i="2"/>
  <c r="C20" i="2"/>
  <c r="C19" i="2" s="1"/>
  <c r="G18" i="2"/>
  <c r="G16" i="2"/>
  <c r="F31" i="2"/>
  <c r="F29" i="2"/>
  <c r="F26" i="2"/>
  <c r="G26" i="2" s="1"/>
  <c r="F23" i="2"/>
  <c r="F20" i="2"/>
  <c r="F15" i="2"/>
  <c r="F10" i="2"/>
  <c r="F12" i="2"/>
  <c r="F11" i="2" s="1"/>
  <c r="C26" i="2"/>
  <c r="C29" i="2"/>
  <c r="C28" i="2" l="1"/>
  <c r="C42" i="2"/>
  <c r="F28" i="2"/>
  <c r="H28" i="2" s="1"/>
  <c r="C104" i="2"/>
  <c r="G105" i="2"/>
  <c r="C123" i="2"/>
  <c r="G123" i="2" s="1"/>
  <c r="G124" i="2"/>
  <c r="C141" i="2"/>
  <c r="G142" i="2"/>
  <c r="G46" i="2"/>
  <c r="G55" i="2"/>
  <c r="G67" i="2"/>
  <c r="C66" i="2"/>
  <c r="G66" i="2" s="1"/>
  <c r="C87" i="2"/>
  <c r="G88" i="2"/>
  <c r="G99" i="2"/>
  <c r="C111" i="2"/>
  <c r="G112" i="2"/>
  <c r="C48" i="2"/>
  <c r="G48" i="2" s="1"/>
  <c r="G49" i="2"/>
  <c r="C78" i="2"/>
  <c r="G79" i="2"/>
  <c r="C101" i="2"/>
  <c r="G101" i="2" s="1"/>
  <c r="G102" i="2"/>
  <c r="C119" i="2"/>
  <c r="G121" i="2"/>
  <c r="C10" i="2"/>
  <c r="C50" i="2"/>
  <c r="G50" i="2" s="1"/>
  <c r="G51" i="2"/>
  <c r="G60" i="2"/>
  <c r="C59" i="2"/>
  <c r="G59" i="2" s="1"/>
  <c r="G94" i="2"/>
  <c r="C93" i="2"/>
  <c r="C107" i="2"/>
  <c r="G107" i="2" s="1"/>
  <c r="G108" i="2"/>
  <c r="C143" i="2"/>
  <c r="G143" i="2" s="1"/>
  <c r="G144" i="2"/>
  <c r="C125" i="2"/>
  <c r="G115" i="2"/>
  <c r="H10" i="2"/>
  <c r="F22" i="2"/>
  <c r="C37" i="2"/>
  <c r="C34" i="2" s="1"/>
  <c r="C33" i="2" s="1"/>
  <c r="G33" i="2" s="1"/>
  <c r="G38" i="2"/>
  <c r="G21" i="2"/>
  <c r="D9" i="2"/>
  <c r="H42" i="2"/>
  <c r="E9" i="2"/>
  <c r="F14" i="2"/>
  <c r="H14" i="2" s="1"/>
  <c r="G32" i="2"/>
  <c r="G31" i="2"/>
  <c r="C23" i="2"/>
  <c r="C22" i="2" s="1"/>
  <c r="G20" i="2"/>
  <c r="C15" i="2"/>
  <c r="C12" i="2"/>
  <c r="G13" i="2"/>
  <c r="F19" i="2"/>
  <c r="H11" i="2"/>
  <c r="F9" i="2"/>
  <c r="G111" i="2" l="1"/>
  <c r="G43" i="2"/>
  <c r="C9" i="2"/>
  <c r="G78" i="2"/>
  <c r="C53" i="2"/>
  <c r="G53" i="2" s="1"/>
  <c r="G106" i="2"/>
  <c r="C92" i="2"/>
  <c r="G92" i="2" s="1"/>
  <c r="G93" i="2"/>
  <c r="C95" i="2"/>
  <c r="G95" i="2" s="1"/>
  <c r="G98" i="2"/>
  <c r="C44" i="2"/>
  <c r="G44" i="2" s="1"/>
  <c r="G45" i="2"/>
  <c r="C116" i="2"/>
  <c r="G116" i="2" s="1"/>
  <c r="G119" i="2"/>
  <c r="C122" i="2"/>
  <c r="G122" i="2" s="1"/>
  <c r="G125" i="2"/>
  <c r="G87" i="2"/>
  <c r="C86" i="2"/>
  <c r="G86" i="2" s="1"/>
  <c r="G54" i="2"/>
  <c r="C140" i="2"/>
  <c r="G140" i="2" s="1"/>
  <c r="G141" i="2"/>
  <c r="C103" i="2"/>
  <c r="G103" i="2" s="1"/>
  <c r="G104" i="2"/>
  <c r="G28" i="2"/>
  <c r="H9" i="2"/>
  <c r="G42" i="2"/>
  <c r="G22" i="2"/>
  <c r="H22" i="2"/>
  <c r="G37" i="2"/>
  <c r="G23" i="2"/>
  <c r="G9" i="2"/>
  <c r="G10" i="2"/>
  <c r="C14" i="2"/>
  <c r="G14" i="2" s="1"/>
  <c r="G15" i="2"/>
  <c r="G12" i="2"/>
  <c r="C11" i="2"/>
  <c r="G11" i="2" s="1"/>
  <c r="H19" i="2"/>
  <c r="G19" i="2"/>
  <c r="G34" i="2" l="1"/>
  <c r="E10" i="3" l="1"/>
  <c r="D10" i="3"/>
  <c r="C10" i="3"/>
  <c r="C24" i="3"/>
  <c r="C22" i="3"/>
  <c r="F28" i="3"/>
  <c r="G28" i="3" s="1"/>
  <c r="E28" i="3"/>
  <c r="D28" i="3"/>
  <c r="C28" i="3"/>
  <c r="E26" i="3"/>
  <c r="D26" i="3"/>
  <c r="C26" i="3"/>
  <c r="E24" i="3"/>
  <c r="D24" i="3"/>
  <c r="E22" i="3"/>
  <c r="E21" i="3" s="1"/>
  <c r="D22" i="3"/>
  <c r="F12" i="3"/>
  <c r="D12" i="3"/>
  <c r="C12" i="3"/>
  <c r="F18" i="3"/>
  <c r="E18" i="3"/>
  <c r="D18" i="3"/>
  <c r="F16" i="3"/>
  <c r="G16" i="3" s="1"/>
  <c r="E16" i="3"/>
  <c r="D16" i="3"/>
  <c r="F14" i="3"/>
  <c r="E14" i="3"/>
  <c r="D14" i="3"/>
  <c r="C18" i="3"/>
  <c r="C16" i="3"/>
  <c r="C14" i="3"/>
  <c r="B25" i="1"/>
  <c r="F25" i="1" s="1"/>
  <c r="C21" i="3" l="1"/>
  <c r="C9" i="3"/>
  <c r="D21" i="3"/>
  <c r="D9" i="3"/>
  <c r="H11" i="3"/>
  <c r="F10" i="3"/>
  <c r="F9" i="3" s="1"/>
  <c r="G11" i="3"/>
  <c r="G14" i="3"/>
  <c r="H13" i="3"/>
  <c r="H27" i="3"/>
  <c r="H28" i="3"/>
  <c r="H29" i="3"/>
  <c r="H25" i="3"/>
  <c r="G18" i="3"/>
  <c r="G23" i="3"/>
  <c r="F22" i="3"/>
  <c r="H23" i="3"/>
  <c r="G25" i="3"/>
  <c r="G27" i="3"/>
  <c r="F24" i="3"/>
  <c r="F26" i="3"/>
  <c r="G12" i="3"/>
  <c r="E12" i="3"/>
  <c r="H12" i="3" s="1"/>
  <c r="H14" i="3"/>
  <c r="G13" i="3"/>
  <c r="H15" i="3"/>
  <c r="H16" i="3"/>
  <c r="G19" i="3"/>
  <c r="H17" i="3"/>
  <c r="G15" i="3"/>
  <c r="B27" i="1"/>
  <c r="F27" i="1" s="1"/>
  <c r="F21" i="3" l="1"/>
  <c r="H21" i="3" s="1"/>
  <c r="E9" i="3"/>
  <c r="H10" i="3"/>
  <c r="G10" i="3"/>
  <c r="H26" i="3"/>
  <c r="G26" i="3"/>
  <c r="H24" i="3"/>
  <c r="G24" i="3"/>
  <c r="H22" i="3"/>
  <c r="G22" i="3"/>
  <c r="H9" i="3"/>
  <c r="G9" i="3"/>
  <c r="G21" i="3" l="1"/>
  <c r="E14" i="1"/>
  <c r="D14" i="1"/>
  <c r="C14" i="1"/>
  <c r="B14" i="1"/>
  <c r="F14" i="1" s="1"/>
  <c r="E11" i="1"/>
  <c r="D11" i="1"/>
  <c r="C11" i="1"/>
  <c r="B11" i="1"/>
  <c r="G14" i="1" l="1"/>
  <c r="G11" i="1"/>
  <c r="F11" i="1"/>
  <c r="B15" i="1"/>
  <c r="B28" i="1" s="1"/>
  <c r="F28" i="1" s="1"/>
  <c r="C15" i="1"/>
  <c r="C28" i="1" s="1"/>
  <c r="D15" i="1"/>
  <c r="D28" i="1" s="1"/>
  <c r="G28" i="1" s="1"/>
  <c r="E15" i="1"/>
  <c r="G15" i="1" l="1"/>
  <c r="F15" i="1"/>
  <c r="E28" i="1"/>
</calcChain>
</file>

<file path=xl/sharedStrings.xml><?xml version="1.0" encoding="utf-8"?>
<sst xmlns="http://schemas.openxmlformats.org/spreadsheetml/2006/main" count="391" uniqueCount="181">
  <si>
    <t>BROJČANA OZNAKA I NAZIV</t>
  </si>
  <si>
    <t>INDEKS</t>
  </si>
  <si>
    <t>6 PRIHODI POSLOVANJA</t>
  </si>
  <si>
    <t>7 PRIHODI OD PRODAJE NEFINANCIJSKE IMOVINE</t>
  </si>
  <si>
    <t>UKUPNI PRIHODI</t>
  </si>
  <si>
    <t>3 RASHODI POSLOVANJA</t>
  </si>
  <si>
    <t>4 RASHODI ZA NABAVU NEFINANCIJSKE IMOVINE</t>
  </si>
  <si>
    <t>UKUPNI RASHODI</t>
  </si>
  <si>
    <t>RAZLIKA - VIŠAK / MANJAK</t>
  </si>
  <si>
    <t>PRIJENOS SREDSTAVA IZ PRETHODNE GODINE</t>
  </si>
  <si>
    <t>TEKUĆI PLAN     2023.</t>
  </si>
  <si>
    <t>NETO FINANCIRANJE</t>
  </si>
  <si>
    <t>VIŠAK / MANJAK + NETO FINANCIRANJE</t>
  </si>
  <si>
    <t>SAŽETAK RAČUNA PRIHODA I RASHODA</t>
  </si>
  <si>
    <t>SAŽETAK RAČUNA FINANCIRANJA</t>
  </si>
  <si>
    <t>6=5/2*100</t>
  </si>
  <si>
    <t>7=5/4*100</t>
  </si>
  <si>
    <t>5=4/3*100</t>
  </si>
  <si>
    <t>OSTVARENJE/ IZVRŠENJE          2022.</t>
  </si>
  <si>
    <t>REBALANS     2023.</t>
  </si>
  <si>
    <t>OSTVARENJE/ IZVRŠENJE          2023.</t>
  </si>
  <si>
    <t xml:space="preserve">A779047 </t>
  </si>
  <si>
    <t>JAVNA USTANOVA "NACIONALNI PARK PLITVIČKA JEZERA"</t>
  </si>
  <si>
    <t xml:space="preserve"> Rashodi za zaposlene</t>
  </si>
  <si>
    <t xml:space="preserve"> Plaće za redovan rad</t>
  </si>
  <si>
    <t xml:space="preserve"> Plaće u naravi</t>
  </si>
  <si>
    <t xml:space="preserve"> Ostali rashodi za zaposlene</t>
  </si>
  <si>
    <t xml:space="preserve"> Doprinosi za obvezno zdravstveno osiguranje</t>
  </si>
  <si>
    <t xml:space="preserve"> Materijalni rashodi</t>
  </si>
  <si>
    <t xml:space="preserve"> Službena putovanja</t>
  </si>
  <si>
    <t xml:space="preserve"> Naknade za prijevoz, za rad na terenu i odvojeni život</t>
  </si>
  <si>
    <t xml:space="preserve"> Stručno usavršavanje zaposlenika</t>
  </si>
  <si>
    <t xml:space="preserve"> Ostale naknade troškova zaposlenima</t>
  </si>
  <si>
    <t xml:space="preserve"> Uredski materijal i ostali materijalni rashodi</t>
  </si>
  <si>
    <t xml:space="preserve"> Materijal i sirovine</t>
  </si>
  <si>
    <t xml:space="preserve"> Energija</t>
  </si>
  <si>
    <t xml:space="preserve"> Materijal i dijelovi za tekuće i investicijsko održavanje</t>
  </si>
  <si>
    <t xml:space="preserve"> Sitni inventar i auto gume</t>
  </si>
  <si>
    <t xml:space="preserve"> Službena, radna i zaštitna odjeća i obuća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</si>
  <si>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</si>
  <si>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</si>
  <si>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</si>
  <si>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</si>
  <si>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</si>
  <si>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Zdravstvene i veterinarske usluge</t>
  </si>
  <si>
    <t xml:space="preserve"> Intelektualne i osobne usluge</t>
  </si>
  <si>
    <t xml:space="preserve"> Računalne usluge</t>
  </si>
  <si>
    <t xml:space="preserve"> Ostale usluge</t>
  </si>
  <si>
    <t xml:space="preserve"> Naknade troškova osobama izvan radnog odnosa</t>
  </si>
  <si>
    <t xml:space="preserve"> Ostali nespomenuti rashodi poslovanja</t>
  </si>
  <si>
    <t xml:space="preserve"> Premije osiguranja</t>
  </si>
  <si>
    <t xml:space="preserve"> Reprezentacija</t>
  </si>
  <si>
    <t xml:space="preserve"> Članarine i norme</t>
  </si>
  <si>
    <t xml:space="preserve"> Pristojbe i naknade</t>
  </si>
  <si>
    <t xml:space="preserve"> Troškovi sudskih postupaka</t>
  </si>
  <si>
    <t xml:space="preserve"> Financijski rashodi</t>
  </si>
  <si>
    <t xml:space="preserve"> Bankarske usluge i usluge platnog prometa</t>
  </si>
  <si>
    <t xml:space="preserve"> Negativne tečajne razlike i razlike zbog primjene valutne klauzule</t>
  </si>
  <si>
    <t xml:space="preserve"> Zatezne kamate</t>
  </si>
  <si>
    <t xml:space="preserve"> Ostali nespomenuti financijski rashodi</t>
  </si>
  <si>
    <t xml:space="preserve"> Rashodi za nabavu proizvedene dugotrajne imovine</t>
  </si>
  <si>
    <t xml:space="preserve"> Uredska oprema i namještaj</t>
  </si>
  <si>
    <t xml:space="preserve"> Komunikacijska oprema</t>
  </si>
  <si>
    <t xml:space="preserve"> Oprema za održavanje i zaštitu</t>
  </si>
  <si>
    <t xml:space="preserve"> Medicinska i laboratorijska oprema</t>
  </si>
  <si>
    <t xml:space="preserve"> Instrumenti, uređaji i strojevi</t>
  </si>
  <si>
    <t xml:space="preserve"> Sportska i glazbena oprema</t>
  </si>
  <si>
    <t xml:space="preserve"> Uređaji, strojevi i oprema za ostale namjene</t>
  </si>
  <si>
    <t xml:space="preserve"> Ulaganja u računalne programe</t>
  </si>
  <si>
    <t xml:space="preserve"> Rashodi za dodatna ulaganja na nefinancijskoj imovini</t>
  </si>
  <si>
    <t xml:space="preserve"> Dodatna ulaganja na građevinskim objektima</t>
  </si>
  <si>
    <t xml:space="preserve"> Dodatna ulaganja na postrojenjima i opremi</t>
  </si>
  <si>
    <t xml:space="preserve"> Doprinosi za mirovinsko osiguranje</t>
  </si>
  <si>
    <t xml:space="preserve"> Naknade za rad predstavničkih i izvršnih tijela, povjerenstava i slično</t>
  </si>
  <si>
    <t xml:space="preserve"> Subvencije</t>
  </si>
  <si>
    <t xml:space="preserve"> Subvencije trgovačkim društvima u javnom sektoru</t>
  </si>
  <si>
    <t xml:space="preserve"> Pomoći dane u inozemstvo i unutar općeg proračuna</t>
  </si>
  <si>
    <t xml:space="preserve"> Tekuće pomoći unutar općeg proračuna</t>
  </si>
  <si>
    <t xml:space="preserve"> Tekuće pomoći proračunskim korisnicima drugih proračuna</t>
  </si>
  <si>
    <t xml:space="preserve"> Tekući prijenosi između proračunskih korisnika istog proračuna</t>
  </si>
  <si>
    <t xml:space="preserve"> Naknade građanima i kućanstvima na temelju osiguranja i dr.naknade</t>
  </si>
  <si>
    <t xml:space="preserve"> Naknade građanima i kućanstvima u novcu</t>
  </si>
  <si>
    <t xml:space="preserve"> Ostali rashodi</t>
  </si>
  <si>
    <t xml:space="preserve"> Tekuće donacije u novcu</t>
  </si>
  <si>
    <t xml:space="preserve"> Naknade šteta pravnim i fizičkim osobama</t>
  </si>
  <si>
    <t xml:space="preserve"> Naknade šteta zaposlenicima</t>
  </si>
  <si>
    <t xml:space="preserve"> Ostale kazne</t>
  </si>
  <si>
    <t xml:space="preserve"> Rashodi za nabavu neproizvedene dugotrajne imovine</t>
  </si>
  <si>
    <t xml:space="preserve"> Zemljište</t>
  </si>
  <si>
    <t xml:space="preserve"> Licence</t>
  </si>
  <si>
    <t xml:space="preserve"> Ostala prava</t>
  </si>
  <si>
    <t xml:space="preserve"> Ostali građevinski objekti</t>
  </si>
  <si>
    <t xml:space="preserve"> Prijevozna sredstva u cestovnom prometu</t>
  </si>
  <si>
    <t xml:space="preserve"> Prijevozna sredstva u pomorskom i riječnom prometu</t>
  </si>
  <si>
    <t xml:space="preserve"> Ostale nespomenute izložbene vrijednosti</t>
  </si>
  <si>
    <t>Izvor financiranja:  Vlastiti prihodi</t>
  </si>
  <si>
    <t>Izvor financiranja:  Ostali prihodi za posebne namjene</t>
  </si>
  <si>
    <t>Izvor financiranja:  Ostale pomoći i darovnice</t>
  </si>
  <si>
    <t>Izvor financiranja:  Donacije</t>
  </si>
  <si>
    <t xml:space="preserve"> ZAŠTITA OKOLIŠA</t>
  </si>
  <si>
    <t xml:space="preserve"> Zaštita bioraznolikosti i krajolika</t>
  </si>
  <si>
    <t>05</t>
  </si>
  <si>
    <t>054</t>
  </si>
  <si>
    <t>Vlastiti prihodi</t>
  </si>
  <si>
    <t>Prihodi za posebne namjene</t>
  </si>
  <si>
    <t>Ostali prihodi za posebne namjene</t>
  </si>
  <si>
    <t>Pomoći</t>
  </si>
  <si>
    <t>Ostale pomoći i darovnice</t>
  </si>
  <si>
    <t>Donacije</t>
  </si>
  <si>
    <t>Prihodi od prodaje ili zamjene nefinancijske imovine i naknade s naslova osiguranja</t>
  </si>
  <si>
    <t xml:space="preserve"> Pomoći iz inozemstva i od subjekata unutar općeg proračuna</t>
  </si>
  <si>
    <t xml:space="preserve"> PRIHODI POSLOVANJA</t>
  </si>
  <si>
    <t xml:space="preserve"> Pomoći od izvanproračunskih korisnika</t>
  </si>
  <si>
    <t xml:space="preserve"> Kapitalne pomoći od izvanproračunskih korisnika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</si>
  <si>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</si>
  <si>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</si>
  <si>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</si>
  <si>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</si>
  <si>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pozitivnih tečajnih razlika i razlika zbog primjene valutne klauzule</t>
  </si>
  <si>
    <t xml:space="preserve"> Prihodi od upravnih i administrativnih pristojbi, pristojbi po posebnim propisima i naknada</t>
  </si>
  <si>
    <t xml:space="preserve"> Prihodi po posebnim propisima</t>
  </si>
  <si>
    <t xml:space="preserve"> Ostali nespomenuti prihodi</t>
  </si>
  <si>
    <t xml:space="preserve"> Prihodi od prodaje proizvoda i robe te pruženih usluga, prihodi od donacija te povrati po protestiranim jamstvima</t>
  </si>
  <si>
    <t xml:space="preserve"> Prihodi od prodaje proizvoda i robe te pruženih usluga </t>
  </si>
  <si>
    <t xml:space="preserve"> Prihodi od prodaje proizvoda i robe</t>
  </si>
  <si>
    <t xml:space="preserve"> Prihodi od pruženih usluga</t>
  </si>
  <si>
    <t xml:space="preserve"> Donacije od pravnih i fizičkih osoba izvan općeg proračuna i povrat donacija po protestiranim jamstvima</t>
  </si>
  <si>
    <t xml:space="preserve"> Tekuće donacije</t>
  </si>
  <si>
    <t xml:space="preserve"> Kazne, upravne mjere i ostali prihodi</t>
  </si>
  <si>
    <t xml:space="preserve"> Ostali prihodi</t>
  </si>
  <si>
    <t xml:space="preserve"> PRIHODI OD PRODAJE NEFINANCIJSKE IMOVINE</t>
  </si>
  <si>
    <t xml:space="preserve"> Prihodi od prodaje proizvedene dugotrajne imovine</t>
  </si>
  <si>
    <t xml:space="preserve"> Prihodi od prodaje postrojenja i opreme</t>
  </si>
  <si>
    <t xml:space="preserve"> Prihodi od prodaje prijevoznih sredstava</t>
  </si>
  <si>
    <t xml:space="preserve"> RASHODI POSLOVANJA</t>
  </si>
  <si>
    <t xml:space="preserve"> Plaće (Bruto)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</si>
  <si>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</si>
  <si>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</si>
  <si>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</si>
  <si>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</si>
  <si>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Ostali financijski rashodi</t>
  </si>
  <si>
    <t xml:space="preserve"> Pomoći unutar općeg proračuna</t>
  </si>
  <si>
    <t xml:space="preserve"> Pomoći proračunskim korisnicima drugih proračuna</t>
  </si>
  <si>
    <t xml:space="preserve"> Prijenosi između proračunskih korisnika istog proračuna</t>
  </si>
  <si>
    <t xml:space="preserve"> Naknade građanima i kućanstvima na temelju osiguranja i druge naknade</t>
  </si>
  <si>
    <t xml:space="preserve"> Ostale naknade građanima i kućanstvima iz proračuna</t>
  </si>
  <si>
    <t xml:space="preserve"> Kazne, penali i naknade štete</t>
  </si>
  <si>
    <t xml:space="preserve"> RASHODI ZA NABAVU NEFINANCIJSKE IMOVINE</t>
  </si>
  <si>
    <t xml:space="preserve"> Materijalna imovina - prirodna bogatstva</t>
  </si>
  <si>
    <t xml:space="preserve"> Nematerijalna imovina</t>
  </si>
  <si>
    <t xml:space="preserve"> Građevinski objekti</t>
  </si>
  <si>
    <t xml:space="preserve"> Postrojenja i oprema</t>
  </si>
  <si>
    <t xml:space="preserve"> Prijevozna sredstva</t>
  </si>
  <si>
    <t xml:space="preserve"> Knjige, umjetnička djela i ostale izložbene vrijednosti</t>
  </si>
  <si>
    <t xml:space="preserve"> Nematerijalna proizvedena imovina</t>
  </si>
  <si>
    <t xml:space="preserve"> Kazne i upravne mjere</t>
  </si>
  <si>
    <t xml:space="preserve"> Kapitalne donacije neprofitnim organizacijama</t>
  </si>
  <si>
    <t xml:space="preserve"> Kapitalne donacije</t>
  </si>
  <si>
    <t xml:space="preserve"> Kapitalne pomoći proračunskim korisnicima drugih proračuna</t>
  </si>
  <si>
    <t>Ostali građevinski objekti</t>
  </si>
  <si>
    <t xml:space="preserve"> Program: ZAŠTITA PRIRODE</t>
  </si>
  <si>
    <t xml:space="preserve"> Aktivnost: ADMINISTRACIJA I UPRAVLJANJE (IZ EVIDENCIJSKIH PRIHODA)</t>
  </si>
  <si>
    <t>UKUPNO RASHODI PREMA FUNKCIJSKOJ KLASIFIKACIJI</t>
  </si>
  <si>
    <t>UKUPNO PRIHODI PREMA IZVORIMA FINANCIRANJA</t>
  </si>
  <si>
    <t>UKUPNO RASHODI PREMA IZVORIMA FINANCIRANJA</t>
  </si>
  <si>
    <t>UKUPNO PRIHODI PREMA EKONOMSKOJ KLASIFIKACIJI</t>
  </si>
  <si>
    <t>UKUPNO RASHODI PREMA EKONOMSKOJ KLASIFIKACIJI</t>
  </si>
  <si>
    <t>PRIJENOS SREDSTAVA U SLJEDEĆU GODINU</t>
  </si>
  <si>
    <t>1. OPĆI DIO</t>
  </si>
  <si>
    <t>1.1. SAŽETAK RAČUNA PRIHODA I RASHODA I RAČUNA FINANCIRANJA</t>
  </si>
  <si>
    <t>1.2. RAČUN PRIHODA I RASHODA</t>
  </si>
  <si>
    <t>1.2.1. IZVJEŠTAJ O PRIHODIMA I RASHODIMA PREMA EKONOMSKOJ KLASIFIKACIJI</t>
  </si>
  <si>
    <t>1.2.2. IZVJEŠTAJ O PRIHODIMA I RASHODIMA PREMA IZVORIMA FINANCIRANJA</t>
  </si>
  <si>
    <t>1.2.3. IZVJEŠTAJ O RASHODIMA PREMA FUNKCIJSKOJ KLASIFIKACIJI</t>
  </si>
  <si>
    <t>2. POSEBNI DIO</t>
  </si>
  <si>
    <t>2.1. IZVJEŠTAJ PO PROGRAMSKOJ KLASIFIKACIJI</t>
  </si>
  <si>
    <t>GODIŠNJI IZVJEŠTAJ O IZVRŠENJU FINANCIJSKOG PLANA                                                                                                                               JAVNE USTANOVE NACIONALNI PARK PLITVIČKA JEZERA ZA 2023. GODINU</t>
  </si>
  <si>
    <t>GODIŠNJI IZVJEŠTAJ O IZVRŠENJU FINANCIJSKOG PLANA                                                                                                                                                                          JAVNE USTANOVE NACIONALNI PARK PLITVIČKA JEZERA ZA 2023. GODINU</t>
  </si>
  <si>
    <t>8 PRIMICI OD FINANCIJSKE IMOVINE I ZADUŽIVANJA</t>
  </si>
  <si>
    <t>5 IZDACI ZA FINANCIJSKU IMOVINU I OTPLATE ZAJMOVA</t>
  </si>
  <si>
    <t>RAZLIKA PRIMITAKA I IZDATAKA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</si>
</sst>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Verdana"/>
      <family val="2"/>
      <charset val="238"/>
    </font>
    <font>
      <b/>
      <sz val="12"/>
      <name val="Arial"/>
      <family val="2"/>
      <charset val="238"/>
    </font>
    <font>
      <sz val="9"/>
      <name val="Verdan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color rgb="FFFF0000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Verdana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8" fillId="2" borderId="0" xfId="0" applyFont="1" applyFill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10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indent="1"/>
    </xf>
    <xf numFmtId="4" fontId="11" fillId="2" borderId="1" xfId="0" applyNumberFormat="1" applyFont="1" applyFill="1" applyBorder="1" applyAlignment="1">
      <alignment horizontal="right" vertical="center" wrapText="1" indent="1"/>
    </xf>
    <xf numFmtId="2" fontId="11" fillId="2" borderId="1" xfId="0" applyNumberFormat="1" applyFont="1" applyFill="1" applyBorder="1" applyAlignment="1">
      <alignment horizontal="right" vertical="center" wrapText="1" indent="1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wrapText="1" indent="3"/>
    </xf>
    <xf numFmtId="0" fontId="5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right" vertical="center" wrapText="1" indent="1"/>
    </xf>
    <xf numFmtId="2" fontId="8" fillId="4" borderId="2" xfId="0" applyNumberFormat="1" applyFont="1" applyFill="1" applyBorder="1" applyAlignment="1">
      <alignment horizontal="right" vertical="center" wrapText="1" indent="1"/>
    </xf>
    <xf numFmtId="0" fontId="5" fillId="5" borderId="1" xfId="0" applyFont="1" applyFill="1" applyBorder="1" applyAlignment="1">
      <alignment horizontal="left" vertical="center" wrapText="1"/>
    </xf>
    <xf numFmtId="4" fontId="5" fillId="5" borderId="2" xfId="0" applyNumberFormat="1" applyFont="1" applyFill="1" applyBorder="1" applyAlignment="1">
      <alignment horizontal="right" vertical="center" wrapText="1" indent="1"/>
    </xf>
    <xf numFmtId="2" fontId="5" fillId="5" borderId="2" xfId="0" applyNumberFormat="1" applyFont="1" applyFill="1" applyBorder="1" applyAlignment="1">
      <alignment horizontal="right" vertical="center" wrapText="1" indent="1"/>
    </xf>
    <xf numFmtId="4" fontId="5" fillId="5" borderId="8" xfId="0" applyNumberFormat="1" applyFont="1" applyFill="1" applyBorder="1" applyAlignment="1">
      <alignment horizontal="right" vertical="center" wrapText="1" indent="1"/>
    </xf>
    <xf numFmtId="2" fontId="5" fillId="5" borderId="8" xfId="0" applyNumberFormat="1" applyFont="1" applyFill="1" applyBorder="1" applyAlignment="1">
      <alignment horizontal="right" vertical="center" wrapText="1" indent="1"/>
    </xf>
    <xf numFmtId="2" fontId="5" fillId="5" borderId="6" xfId="0" applyNumberFormat="1" applyFont="1" applyFill="1" applyBorder="1" applyAlignment="1">
      <alignment horizontal="right" vertical="center" wrapText="1" indent="1"/>
    </xf>
    <xf numFmtId="0" fontId="13" fillId="0" borderId="0" xfId="0" applyFont="1"/>
    <xf numFmtId="0" fontId="14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8" fillId="4" borderId="1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horizontal="right" wrapText="1" indent="1"/>
    </xf>
    <xf numFmtId="4" fontId="8" fillId="2" borderId="2" xfId="0" applyNumberFormat="1" applyFont="1" applyFill="1" applyBorder="1" applyAlignment="1">
      <alignment horizontal="right" wrapText="1" indent="1"/>
    </xf>
    <xf numFmtId="0" fontId="11" fillId="2" borderId="2" xfId="0" applyFont="1" applyFill="1" applyBorder="1" applyAlignment="1">
      <alignment horizontal="left" wrapText="1" indent="1"/>
    </xf>
    <xf numFmtId="0" fontId="11" fillId="2" borderId="2" xfId="0" applyFont="1" applyFill="1" applyBorder="1" applyAlignment="1">
      <alignment horizontal="right" wrapText="1" indent="1"/>
    </xf>
    <xf numFmtId="0" fontId="17" fillId="0" borderId="0" xfId="0" applyFont="1" applyAlignment="1">
      <alignment horizontal="left" indent="1"/>
    </xf>
    <xf numFmtId="0" fontId="8" fillId="4" borderId="1" xfId="0" applyFont="1" applyFill="1" applyBorder="1" applyAlignment="1">
      <alignment horizontal="left" wrapText="1"/>
    </xf>
    <xf numFmtId="4" fontId="8" fillId="4" borderId="2" xfId="0" applyNumberFormat="1" applyFont="1" applyFill="1" applyBorder="1" applyAlignment="1">
      <alignment horizontal="right" wrapText="1" indent="1"/>
    </xf>
    <xf numFmtId="4" fontId="16" fillId="0" borderId="0" xfId="0" applyNumberFormat="1" applyFont="1"/>
    <xf numFmtId="0" fontId="16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right" vertical="center" wrapText="1" indent="1"/>
    </xf>
    <xf numFmtId="2" fontId="5" fillId="4" borderId="8" xfId="0" applyNumberFormat="1" applyFont="1" applyFill="1" applyBorder="1" applyAlignment="1">
      <alignment horizontal="right" vertical="center" wrapText="1" indent="1"/>
    </xf>
    <xf numFmtId="2" fontId="5" fillId="4" borderId="6" xfId="0" applyNumberFormat="1" applyFont="1" applyFill="1" applyBorder="1" applyAlignment="1">
      <alignment horizontal="right" vertical="center" wrapText="1" indent="1"/>
    </xf>
    <xf numFmtId="4" fontId="2" fillId="0" borderId="0" xfId="0" applyNumberFormat="1" applyFont="1" applyAlignment="1">
      <alignment horizontal="left" indent="1"/>
    </xf>
    <xf numFmtId="0" fontId="5" fillId="5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wrapText="1" indent="1"/>
    </xf>
    <xf numFmtId="0" fontId="8" fillId="2" borderId="1" xfId="0" applyFont="1" applyFill="1" applyBorder="1" applyAlignment="1">
      <alignment horizontal="left" wrapText="1" indent="2"/>
    </xf>
    <xf numFmtId="0" fontId="11" fillId="2" borderId="1" xfId="0" applyFont="1" applyFill="1" applyBorder="1" applyAlignment="1">
      <alignment horizontal="left" wrapText="1" indent="2"/>
    </xf>
    <xf numFmtId="0" fontId="11" fillId="2" borderId="1" xfId="0" applyFont="1" applyFill="1" applyBorder="1" applyAlignment="1">
      <alignment horizontal="left" indent="2"/>
    </xf>
    <xf numFmtId="0" fontId="8" fillId="2" borderId="1" xfId="0" applyFont="1" applyFill="1" applyBorder="1" applyAlignment="1">
      <alignment horizontal="left" indent="2"/>
    </xf>
    <xf numFmtId="0" fontId="5" fillId="4" borderId="1" xfId="0" applyFont="1" applyFill="1" applyBorder="1" applyAlignment="1">
      <alignment horizontal="left" vertical="center" wrapText="1" indent="1"/>
    </xf>
    <xf numFmtId="4" fontId="5" fillId="4" borderId="2" xfId="0" applyNumberFormat="1" applyFont="1" applyFill="1" applyBorder="1" applyAlignment="1">
      <alignment horizontal="right" vertical="center" wrapText="1" indent="1"/>
    </xf>
    <xf numFmtId="2" fontId="5" fillId="4" borderId="2" xfId="0" applyNumberFormat="1" applyFont="1" applyFill="1" applyBorder="1" applyAlignment="1">
      <alignment horizontal="right" vertical="center" wrapText="1" indent="1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indent="1"/>
    </xf>
    <xf numFmtId="0" fontId="2" fillId="0" borderId="9" xfId="0" applyFont="1" applyBorder="1" applyAlignment="1">
      <alignment horizontal="left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2"/>
    </xf>
    <xf numFmtId="0" fontId="11" fillId="2" borderId="1" xfId="0" applyFont="1" applyFill="1" applyBorder="1" applyAlignment="1">
      <alignment horizontal="left" vertical="center" wrapText="1" indent="3"/>
    </xf>
    <xf numFmtId="0" fontId="8" fillId="2" borderId="1" xfId="0" applyFont="1" applyFill="1" applyBorder="1" applyAlignment="1">
      <alignment horizontal="left" indent="1"/>
    </xf>
    <xf numFmtId="0" fontId="11" fillId="2" borderId="1" xfId="0" applyFont="1" applyFill="1" applyBorder="1" applyAlignment="1">
      <alignment horizontal="left" wrapText="1" indent="3"/>
    </xf>
    <xf numFmtId="0" fontId="11" fillId="2" borderId="1" xfId="0" applyFont="1" applyFill="1" applyBorder="1" applyAlignment="1">
      <alignment horizontal="left" indent="3"/>
    </xf>
    <xf numFmtId="0" fontId="5" fillId="5" borderId="7" xfId="0" applyFont="1" applyFill="1" applyBorder="1" applyAlignment="1">
      <alignment horizontal="left" vertical="center" wrapText="1" indent="2"/>
    </xf>
    <xf numFmtId="0" fontId="5" fillId="4" borderId="4" xfId="0" applyFont="1" applyFill="1" applyBorder="1" applyAlignment="1">
      <alignment horizontal="left" vertical="center" wrapText="1" indent="1"/>
    </xf>
    <xf numFmtId="4" fontId="5" fillId="4" borderId="5" xfId="0" applyNumberFormat="1" applyFont="1" applyFill="1" applyBorder="1" applyAlignment="1">
      <alignment horizontal="right" vertical="center" wrapText="1" indent="1"/>
    </xf>
    <xf numFmtId="2" fontId="5" fillId="4" borderId="5" xfId="0" applyNumberFormat="1" applyFont="1" applyFill="1" applyBorder="1" applyAlignment="1">
      <alignment horizontal="right" vertical="center" wrapText="1" indent="1"/>
    </xf>
    <xf numFmtId="2" fontId="5" fillId="6" borderId="8" xfId="0" applyNumberFormat="1" applyFont="1" applyFill="1" applyBorder="1" applyAlignment="1">
      <alignment horizontal="right" vertical="center" wrapText="1" indent="1"/>
    </xf>
    <xf numFmtId="2" fontId="5" fillId="6" borderId="6" xfId="0" applyNumberFormat="1" applyFont="1" applyFill="1" applyBorder="1" applyAlignment="1">
      <alignment horizontal="right" vertical="center" wrapText="1" indent="1"/>
    </xf>
    <xf numFmtId="0" fontId="5" fillId="6" borderId="7" xfId="0" applyFont="1" applyFill="1" applyBorder="1" applyAlignment="1">
      <alignment horizontal="left" vertical="center" wrapText="1" indent="1"/>
    </xf>
    <xf numFmtId="4" fontId="5" fillId="6" borderId="8" xfId="0" applyNumberFormat="1" applyFont="1" applyFill="1" applyBorder="1" applyAlignment="1">
      <alignment horizontal="right" vertical="center" wrapText="1" indent="1"/>
    </xf>
    <xf numFmtId="0" fontId="5" fillId="4" borderId="7" xfId="0" applyFont="1" applyFill="1" applyBorder="1" applyAlignment="1">
      <alignment horizontal="left" vertical="center" wrapText="1" indent="3"/>
    </xf>
    <xf numFmtId="4" fontId="5" fillId="5" borderId="2" xfId="0" applyNumberFormat="1" applyFont="1" applyFill="1" applyBorder="1" applyAlignment="1">
      <alignment horizontal="right" wrapText="1" indent="1"/>
    </xf>
    <xf numFmtId="2" fontId="5" fillId="5" borderId="2" xfId="0" applyNumberFormat="1" applyFont="1" applyFill="1" applyBorder="1" applyAlignment="1">
      <alignment horizontal="right" wrapText="1" indent="1"/>
    </xf>
    <xf numFmtId="2" fontId="8" fillId="4" borderId="2" xfId="0" applyNumberFormat="1" applyFont="1" applyFill="1" applyBorder="1" applyAlignment="1">
      <alignment horizontal="right" wrapText="1" indent="1"/>
    </xf>
    <xf numFmtId="2" fontId="8" fillId="2" borderId="2" xfId="0" applyNumberFormat="1" applyFont="1" applyFill="1" applyBorder="1" applyAlignment="1">
      <alignment horizontal="right" wrapText="1" indent="1"/>
    </xf>
    <xf numFmtId="2" fontId="11" fillId="2" borderId="2" xfId="0" applyNumberFormat="1" applyFont="1" applyFill="1" applyBorder="1" applyAlignment="1">
      <alignment horizontal="right" wrapText="1" indent="1"/>
    </xf>
    <xf numFmtId="0" fontId="5" fillId="5" borderId="7" xfId="0" quotePrefix="1" applyFont="1" applyFill="1" applyBorder="1" applyAlignment="1">
      <alignment horizontal="left" vertical="center" wrapText="1" indent="1"/>
    </xf>
    <xf numFmtId="0" fontId="5" fillId="4" borderId="7" xfId="0" quotePrefix="1" applyFont="1" applyFill="1" applyBorder="1" applyAlignment="1">
      <alignment horizontal="left" vertical="center" wrapText="1" indent="2"/>
    </xf>
    <xf numFmtId="0" fontId="5" fillId="6" borderId="7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indent="2"/>
    </xf>
    <xf numFmtId="0" fontId="11" fillId="2" borderId="1" xfId="0" applyFont="1" applyFill="1" applyBorder="1" applyAlignment="1">
      <alignment horizontal="left" vertical="center" indent="3"/>
    </xf>
    <xf numFmtId="4" fontId="11" fillId="0" borderId="2" xfId="0" applyNumberFormat="1" applyFont="1" applyBorder="1" applyAlignment="1">
      <alignment horizontal="right" wrapText="1" indent="1"/>
    </xf>
    <xf numFmtId="4" fontId="5" fillId="6" borderId="2" xfId="0" applyNumberFormat="1" applyFont="1" applyFill="1" applyBorder="1" applyAlignment="1">
      <alignment horizontal="right" vertical="center" wrapText="1"/>
    </xf>
    <xf numFmtId="2" fontId="5" fillId="6" borderId="2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2" fontId="5" fillId="5" borderId="2" xfId="0" applyNumberFormat="1" applyFont="1" applyFill="1" applyBorder="1" applyAlignment="1">
      <alignment horizontal="right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2" fontId="1" fillId="4" borderId="2" xfId="0" applyNumberFormat="1" applyFont="1" applyFill="1" applyBorder="1" applyAlignment="1">
      <alignment horizontal="right" vertical="center" wrapText="1"/>
    </xf>
    <xf numFmtId="2" fontId="8" fillId="5" borderId="2" xfId="0" applyNumberFormat="1" applyFont="1" applyFill="1" applyBorder="1" applyAlignment="1">
      <alignment horizontal="right" vertical="center" wrapText="1"/>
    </xf>
    <xf numFmtId="2" fontId="11" fillId="4" borderId="2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" fontId="5" fillId="6" borderId="5" xfId="0" applyNumberFormat="1" applyFont="1" applyFill="1" applyBorder="1" applyAlignment="1">
      <alignment horizontal="right" vertical="center" wrapText="1"/>
    </xf>
    <xf numFmtId="2" fontId="5" fillId="6" borderId="14" xfId="0" applyNumberFormat="1" applyFont="1" applyFill="1" applyBorder="1" applyAlignment="1">
      <alignment horizontal="right" vertical="center" wrapText="1"/>
    </xf>
    <xf numFmtId="2" fontId="5" fillId="6" borderId="15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indent="1"/>
    </xf>
    <xf numFmtId="0" fontId="5" fillId="6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5" fillId="6" borderId="13" xfId="0" applyFont="1" applyFill="1" applyBorder="1" applyAlignment="1">
      <alignment horizontal="left" vertical="center" indent="1"/>
    </xf>
    <xf numFmtId="0" fontId="5" fillId="6" borderId="13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2"/>
    </xf>
    <xf numFmtId="4" fontId="11" fillId="0" borderId="2" xfId="0" applyNumberFormat="1" applyFont="1" applyFill="1" applyBorder="1" applyAlignment="1">
      <alignment horizontal="right" wrapText="1" indent="1"/>
    </xf>
    <xf numFmtId="4" fontId="11" fillId="0" borderId="1" xfId="0" applyNumberFormat="1" applyFont="1" applyFill="1" applyBorder="1" applyAlignment="1">
      <alignment horizontal="right" vertical="center" wrapText="1" indent="1"/>
    </xf>
    <xf numFmtId="0" fontId="8" fillId="4" borderId="1" xfId="0" applyFont="1" applyFill="1" applyBorder="1" applyAlignment="1">
      <alignment horizontal="left" vertical="center" wrapText="1" indent="1"/>
    </xf>
    <xf numFmtId="4" fontId="8" fillId="4" borderId="1" xfId="0" applyNumberFormat="1" applyFont="1" applyFill="1" applyBorder="1" applyAlignment="1">
      <alignment horizontal="right" vertical="center" wrapText="1" indent="1"/>
    </xf>
    <xf numFmtId="2" fontId="8" fillId="4" borderId="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abas/Documents/Pozdrav%20i%20tebi/Plan%202017-elementi/PLAN%20'17%20tabl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an%20dokumenti\PLANSKI%20ELEMENTI%20('12)\PLAN%202012ID%20-%203.%20Izmjene%20i%20dopune%20poslovnog%20plana%2010.10.2012\Plan%20investiranja,%20inv.odr&#382;.,%20ut.mat.'12%20-%2010.10.2012.g.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'16"/>
      <sheetName val="Graf'15"/>
      <sheetName val="fr '16"/>
      <sheetName val="fr '15"/>
      <sheetName val="rash'16"/>
      <sheetName val="rash'15"/>
      <sheetName val="PR '16"/>
      <sheetName val="PR '15"/>
      <sheetName val="Sveukupno (2)"/>
      <sheetName val="Sveukupno"/>
      <sheetName val="usporedna"/>
      <sheetName val="rad"/>
      <sheetName val="pl'17 FP prih tabl.13 i 14"/>
      <sheetName val="pl'17 FP rash tabl.15"/>
      <sheetName val="pl'17 PR"/>
      <sheetName val="Graf'17"/>
      <sheetName val="udio službi"/>
      <sheetName val="List2"/>
      <sheetName val="4 plan 2018. i 2019."/>
      <sheetName val="Plan 2018. i 2019.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6.</v>
          </cell>
        </row>
        <row r="7">
          <cell r="A7" t="str">
            <v>63.</v>
          </cell>
        </row>
        <row r="8">
          <cell r="A8" t="str">
            <v>632.</v>
          </cell>
        </row>
        <row r="9">
          <cell r="A9" t="str">
            <v>6324.</v>
          </cell>
        </row>
        <row r="10">
          <cell r="A10" t="str">
            <v>63241.</v>
          </cell>
        </row>
        <row r="11">
          <cell r="A11" t="str">
            <v>64.</v>
          </cell>
        </row>
        <row r="12">
          <cell r="A12" t="str">
            <v>641.</v>
          </cell>
        </row>
        <row r="13">
          <cell r="A13" t="str">
            <v>6413.</v>
          </cell>
        </row>
        <row r="14">
          <cell r="A14" t="str">
            <v>64132.</v>
          </cell>
        </row>
        <row r="15">
          <cell r="A15" t="str">
            <v>6414.</v>
          </cell>
        </row>
        <row r="16">
          <cell r="A16" t="str">
            <v>64143.</v>
          </cell>
        </row>
        <row r="17">
          <cell r="A17" t="str">
            <v>6415.</v>
          </cell>
        </row>
        <row r="18">
          <cell r="A18" t="str">
            <v>64151.</v>
          </cell>
        </row>
        <row r="19">
          <cell r="A19" t="str">
            <v>64151.1.</v>
          </cell>
        </row>
        <row r="20">
          <cell r="A20" t="str">
            <v>642.</v>
          </cell>
        </row>
        <row r="21">
          <cell r="A21" t="str">
            <v>6422.</v>
          </cell>
        </row>
        <row r="22">
          <cell r="A22" t="str">
            <v>66151.11.</v>
          </cell>
        </row>
        <row r="23">
          <cell r="A23" t="str">
            <v>66151.10.</v>
          </cell>
        </row>
        <row r="24">
          <cell r="A24" t="str">
            <v>6425.</v>
          </cell>
        </row>
        <row r="25">
          <cell r="A25" t="str">
            <v>64251.</v>
          </cell>
        </row>
        <row r="26">
          <cell r="A26" t="str">
            <v>65.</v>
          </cell>
        </row>
        <row r="27">
          <cell r="A27" t="str">
            <v>652.</v>
          </cell>
        </row>
        <row r="28">
          <cell r="A28" t="str">
            <v>6526.</v>
          </cell>
        </row>
        <row r="29">
          <cell r="A29" t="str">
            <v>65264.</v>
          </cell>
        </row>
        <row r="30">
          <cell r="A30" t="str">
            <v>66.</v>
          </cell>
        </row>
        <row r="31">
          <cell r="A31" t="str">
            <v>661.</v>
          </cell>
        </row>
        <row r="32">
          <cell r="A32" t="str">
            <v>6614.</v>
          </cell>
        </row>
        <row r="33">
          <cell r="A33" t="str">
            <v>66142.</v>
          </cell>
        </row>
        <row r="34">
          <cell r="A34" t="str">
            <v>6615.</v>
          </cell>
        </row>
        <row r="35">
          <cell r="A35" t="str">
            <v>66151.</v>
          </cell>
        </row>
        <row r="36">
          <cell r="A36" t="str">
            <v>66151.1.</v>
          </cell>
        </row>
        <row r="37">
          <cell r="A37" t="str">
            <v>66151.1.1</v>
          </cell>
        </row>
        <row r="38">
          <cell r="A38" t="str">
            <v>66151.1.2.</v>
          </cell>
        </row>
        <row r="39">
          <cell r="A39" t="str">
            <v>66151.2.</v>
          </cell>
        </row>
        <row r="40">
          <cell r="A40" t="str">
            <v>66151.3.</v>
          </cell>
        </row>
        <row r="41">
          <cell r="A41" t="str">
            <v>66151.4.</v>
          </cell>
        </row>
        <row r="42">
          <cell r="A42" t="str">
            <v>66151.5.</v>
          </cell>
        </row>
        <row r="43">
          <cell r="A43" t="str">
            <v>66151.6.</v>
          </cell>
        </row>
        <row r="44">
          <cell r="A44" t="str">
            <v>66151.7.</v>
          </cell>
        </row>
        <row r="45">
          <cell r="A45" t="str">
            <v>66151.8.</v>
          </cell>
        </row>
        <row r="46">
          <cell r="A46" t="str">
            <v>66151.9.</v>
          </cell>
        </row>
        <row r="47">
          <cell r="A47" t="str">
            <v>66151.13.</v>
          </cell>
        </row>
        <row r="48">
          <cell r="A48" t="str">
            <v>66151.14.</v>
          </cell>
        </row>
        <row r="49">
          <cell r="A49" t="str">
            <v>66151.12.</v>
          </cell>
        </row>
        <row r="50">
          <cell r="A50" t="str">
            <v>663.</v>
          </cell>
        </row>
        <row r="51">
          <cell r="A51" t="str">
            <v>6631.</v>
          </cell>
        </row>
        <row r="52">
          <cell r="A52" t="str">
            <v>66312.</v>
          </cell>
        </row>
        <row r="53">
          <cell r="A53" t="str">
            <v>67.</v>
          </cell>
        </row>
        <row r="54">
          <cell r="A54" t="str">
            <v>671.</v>
          </cell>
        </row>
        <row r="55">
          <cell r="A55" t="str">
            <v>6711.</v>
          </cell>
        </row>
        <row r="56">
          <cell r="A56" t="str">
            <v>67111.</v>
          </cell>
        </row>
        <row r="57">
          <cell r="A57" t="str">
            <v>6713.</v>
          </cell>
        </row>
        <row r="58">
          <cell r="A58" t="str">
            <v>67131.</v>
          </cell>
        </row>
        <row r="59">
          <cell r="A59" t="str">
            <v>68.</v>
          </cell>
        </row>
        <row r="60">
          <cell r="A60" t="str">
            <v>681.</v>
          </cell>
        </row>
        <row r="61">
          <cell r="A61" t="str">
            <v>6819.</v>
          </cell>
        </row>
        <row r="62">
          <cell r="A62" t="str">
            <v>6819.</v>
          </cell>
        </row>
        <row r="63">
          <cell r="A63" t="str">
            <v>683.</v>
          </cell>
        </row>
        <row r="64">
          <cell r="A64" t="str">
            <v>6831.</v>
          </cell>
        </row>
        <row r="65">
          <cell r="A65" t="str">
            <v>6831.</v>
          </cell>
        </row>
        <row r="67">
          <cell r="A67" t="str">
            <v>3.</v>
          </cell>
        </row>
        <row r="68">
          <cell r="A68" t="str">
            <v>31.</v>
          </cell>
        </row>
        <row r="69">
          <cell r="A69" t="str">
            <v>311.</v>
          </cell>
        </row>
        <row r="70">
          <cell r="A70" t="str">
            <v>3111.</v>
          </cell>
        </row>
        <row r="71">
          <cell r="A71" t="str">
            <v>31111.</v>
          </cell>
        </row>
        <row r="72">
          <cell r="A72" t="str">
            <v>31111.1.</v>
          </cell>
        </row>
        <row r="73">
          <cell r="A73" t="str">
            <v>31111.2.</v>
          </cell>
        </row>
        <row r="74">
          <cell r="A74" t="str">
            <v>31111.3.</v>
          </cell>
        </row>
        <row r="75">
          <cell r="A75" t="str">
            <v>31113.</v>
          </cell>
        </row>
        <row r="76">
          <cell r="A76" t="str">
            <v>3112.</v>
          </cell>
        </row>
        <row r="77">
          <cell r="A77" t="str">
            <v>31126.</v>
          </cell>
        </row>
        <row r="78">
          <cell r="A78" t="str">
            <v>31129.</v>
          </cell>
        </row>
        <row r="79">
          <cell r="A79" t="str">
            <v>312.</v>
          </cell>
        </row>
        <row r="80">
          <cell r="A80" t="str">
            <v>3121.</v>
          </cell>
        </row>
        <row r="81">
          <cell r="A81" t="str">
            <v>31212.</v>
          </cell>
        </row>
        <row r="82">
          <cell r="A82" t="str">
            <v>31213.</v>
          </cell>
        </row>
        <row r="83">
          <cell r="A83" t="str">
            <v>31214.</v>
          </cell>
        </row>
        <row r="84">
          <cell r="A84" t="str">
            <v>31215.</v>
          </cell>
        </row>
        <row r="85">
          <cell r="A85" t="str">
            <v>31216.</v>
          </cell>
        </row>
        <row r="86">
          <cell r="A86" t="str">
            <v>31219.</v>
          </cell>
        </row>
        <row r="87">
          <cell r="A87" t="str">
            <v>313.</v>
          </cell>
        </row>
        <row r="88">
          <cell r="A88" t="str">
            <v>3131.</v>
          </cell>
        </row>
        <row r="89">
          <cell r="A89" t="str">
            <v>31311.</v>
          </cell>
        </row>
        <row r="90">
          <cell r="A90" t="str">
            <v>3132.</v>
          </cell>
        </row>
        <row r="91">
          <cell r="A91" t="str">
            <v>31321.</v>
          </cell>
        </row>
        <row r="92">
          <cell r="A92" t="str">
            <v>31322.</v>
          </cell>
        </row>
        <row r="93">
          <cell r="A93" t="str">
            <v>3133.</v>
          </cell>
        </row>
        <row r="94">
          <cell r="A94" t="str">
            <v>31332.</v>
          </cell>
        </row>
        <row r="95">
          <cell r="A95" t="str">
            <v>31333.</v>
          </cell>
        </row>
        <row r="96">
          <cell r="A96" t="str">
            <v>32.</v>
          </cell>
        </row>
        <row r="97">
          <cell r="A97" t="str">
            <v>321.</v>
          </cell>
        </row>
        <row r="98">
          <cell r="A98" t="str">
            <v>3211.</v>
          </cell>
        </row>
        <row r="99">
          <cell r="A99" t="str">
            <v>32111.</v>
          </cell>
        </row>
        <row r="100">
          <cell r="A100" t="str">
            <v>32112.</v>
          </cell>
        </row>
        <row r="101">
          <cell r="A101" t="str">
            <v>32113.</v>
          </cell>
        </row>
        <row r="102">
          <cell r="A102" t="str">
            <v>32114.</v>
          </cell>
        </row>
        <row r="103">
          <cell r="A103" t="str">
            <v>32115.</v>
          </cell>
        </row>
        <row r="104">
          <cell r="A104" t="str">
            <v>32116.</v>
          </cell>
        </row>
        <row r="105">
          <cell r="A105" t="str">
            <v>32119.</v>
          </cell>
        </row>
        <row r="106">
          <cell r="A106" t="str">
            <v>3212.</v>
          </cell>
        </row>
        <row r="107">
          <cell r="A107" t="str">
            <v>32121.</v>
          </cell>
        </row>
        <row r="108">
          <cell r="A108" t="str">
            <v>32123.</v>
          </cell>
        </row>
        <row r="109">
          <cell r="A109" t="str">
            <v>3213.</v>
          </cell>
        </row>
        <row r="110">
          <cell r="A110" t="str">
            <v>32131.</v>
          </cell>
        </row>
        <row r="111">
          <cell r="A111" t="str">
            <v>32132.</v>
          </cell>
        </row>
        <row r="112">
          <cell r="A112" t="str">
            <v>3214.</v>
          </cell>
        </row>
        <row r="113">
          <cell r="A113" t="str">
            <v>32141.</v>
          </cell>
        </row>
        <row r="114">
          <cell r="A114" t="str">
            <v>32149.</v>
          </cell>
        </row>
        <row r="115">
          <cell r="A115" t="str">
            <v>322.</v>
          </cell>
        </row>
        <row r="116">
          <cell r="A116" t="str">
            <v>3221.</v>
          </cell>
        </row>
        <row r="117">
          <cell r="A117" t="str">
            <v>32211.</v>
          </cell>
        </row>
        <row r="118">
          <cell r="A118" t="str">
            <v>32212.</v>
          </cell>
        </row>
        <row r="119">
          <cell r="A119" t="str">
            <v>32214.</v>
          </cell>
        </row>
        <row r="120">
          <cell r="A120" t="str">
            <v>32216.</v>
          </cell>
        </row>
        <row r="121">
          <cell r="A121" t="str">
            <v>32219.</v>
          </cell>
        </row>
        <row r="122">
          <cell r="A122" t="str">
            <v>32219.1.</v>
          </cell>
        </row>
        <row r="123">
          <cell r="A123" t="str">
            <v>32219.2.</v>
          </cell>
        </row>
        <row r="124">
          <cell r="A124" t="str">
            <v>32219.3.</v>
          </cell>
        </row>
        <row r="125">
          <cell r="A125" t="str">
            <v>32219.4.</v>
          </cell>
        </row>
        <row r="126">
          <cell r="A126" t="str">
            <v>32219.5.</v>
          </cell>
        </row>
        <row r="127">
          <cell r="A127" t="str">
            <v>3222.</v>
          </cell>
        </row>
        <row r="128">
          <cell r="A128" t="str">
            <v>32224.</v>
          </cell>
        </row>
        <row r="129">
          <cell r="A129" t="str">
            <v>32229.</v>
          </cell>
        </row>
        <row r="130">
          <cell r="A130" t="str">
            <v>32225.</v>
          </cell>
        </row>
        <row r="131">
          <cell r="A131" t="str">
            <v>32223.</v>
          </cell>
        </row>
        <row r="132">
          <cell r="A132" t="str">
            <v>32223.1.</v>
          </cell>
        </row>
        <row r="133">
          <cell r="A133" t="str">
            <v>32223.2.</v>
          </cell>
        </row>
        <row r="134">
          <cell r="A134" t="str">
            <v>3223.</v>
          </cell>
        </row>
        <row r="135">
          <cell r="A135" t="str">
            <v>32231.</v>
          </cell>
        </row>
        <row r="136">
          <cell r="A136" t="str">
            <v>32233.</v>
          </cell>
        </row>
        <row r="137">
          <cell r="A137" t="str">
            <v>32234.1.</v>
          </cell>
        </row>
        <row r="138">
          <cell r="A138" t="str">
            <v>32234.2.</v>
          </cell>
        </row>
        <row r="139">
          <cell r="A139" t="str">
            <v>32234.3.</v>
          </cell>
        </row>
        <row r="140">
          <cell r="A140" t="str">
            <v>32234.4.</v>
          </cell>
        </row>
        <row r="141">
          <cell r="A141" t="str">
            <v>32239.</v>
          </cell>
        </row>
        <row r="142">
          <cell r="A142" t="str">
            <v>3224.</v>
          </cell>
        </row>
        <row r="143">
          <cell r="A143" t="str">
            <v>32241.</v>
          </cell>
        </row>
        <row r="144">
          <cell r="A144" t="str">
            <v>32242.</v>
          </cell>
        </row>
        <row r="145">
          <cell r="A145" t="str">
            <v>32243.</v>
          </cell>
        </row>
        <row r="146">
          <cell r="A146" t="str">
            <v>32244.</v>
          </cell>
        </row>
        <row r="147">
          <cell r="A147" t="str">
            <v>3225.</v>
          </cell>
        </row>
        <row r="148">
          <cell r="A148" t="str">
            <v>32251.</v>
          </cell>
        </row>
        <row r="149">
          <cell r="A149" t="str">
            <v>32252.</v>
          </cell>
        </row>
        <row r="150">
          <cell r="A150" t="str">
            <v>3227.</v>
          </cell>
        </row>
        <row r="151">
          <cell r="A151" t="str">
            <v>32271.</v>
          </cell>
        </row>
        <row r="152">
          <cell r="A152" t="str">
            <v>323.</v>
          </cell>
        </row>
        <row r="153">
          <cell r="A153" t="str">
            <v>3231.</v>
          </cell>
        </row>
        <row r="154">
          <cell r="A154" t="str">
            <v>32311.</v>
          </cell>
        </row>
        <row r="155">
          <cell r="A155" t="str">
            <v>32311.1.</v>
          </cell>
        </row>
        <row r="156">
          <cell r="A156" t="str">
            <v>32312.</v>
          </cell>
        </row>
        <row r="157">
          <cell r="A157" t="str">
            <v>32313.</v>
          </cell>
        </row>
        <row r="158">
          <cell r="A158" t="str">
            <v>32314.</v>
          </cell>
        </row>
        <row r="159">
          <cell r="A159" t="str">
            <v>32319.</v>
          </cell>
        </row>
        <row r="160">
          <cell r="A160" t="str">
            <v>3232.</v>
          </cell>
        </row>
        <row r="161">
          <cell r="A161" t="str">
            <v>32321.</v>
          </cell>
        </row>
        <row r="162">
          <cell r="A162" t="str">
            <v>32321.1.</v>
          </cell>
        </row>
        <row r="163">
          <cell r="A163" t="str">
            <v>32321.2.</v>
          </cell>
        </row>
        <row r="164">
          <cell r="A164" t="str">
            <v>32322.</v>
          </cell>
        </row>
        <row r="165">
          <cell r="A165" t="str">
            <v>32322.1.</v>
          </cell>
        </row>
        <row r="166">
          <cell r="A166" t="str">
            <v>32322.2.</v>
          </cell>
        </row>
        <row r="167">
          <cell r="A167" t="str">
            <v>32323.</v>
          </cell>
        </row>
        <row r="168">
          <cell r="A168" t="str">
            <v>32323.1.</v>
          </cell>
        </row>
        <row r="169">
          <cell r="A169" t="str">
            <v>32323.2.</v>
          </cell>
        </row>
        <row r="170">
          <cell r="A170" t="str">
            <v>32329.</v>
          </cell>
        </row>
        <row r="171">
          <cell r="A171" t="str">
            <v>3233.</v>
          </cell>
        </row>
        <row r="172">
          <cell r="A172" t="str">
            <v>32331.</v>
          </cell>
        </row>
        <row r="173">
          <cell r="A173" t="str">
            <v>32332.</v>
          </cell>
        </row>
        <row r="174">
          <cell r="A174" t="str">
            <v>32333.</v>
          </cell>
        </row>
        <row r="175">
          <cell r="A175" t="str">
            <v>32334.</v>
          </cell>
        </row>
        <row r="176">
          <cell r="A176" t="str">
            <v>32339.</v>
          </cell>
        </row>
        <row r="177">
          <cell r="A177" t="str">
            <v>3234.</v>
          </cell>
        </row>
        <row r="178">
          <cell r="A178" t="str">
            <v>32341.</v>
          </cell>
        </row>
        <row r="179">
          <cell r="A179" t="str">
            <v>32342.</v>
          </cell>
        </row>
        <row r="180">
          <cell r="A180" t="str">
            <v>32343.</v>
          </cell>
        </row>
        <row r="181">
          <cell r="A181" t="str">
            <v>32344.</v>
          </cell>
        </row>
        <row r="182">
          <cell r="A182" t="str">
            <v>32349.</v>
          </cell>
        </row>
        <row r="183">
          <cell r="A183" t="str">
            <v>3235.</v>
          </cell>
        </row>
        <row r="184">
          <cell r="A184" t="str">
            <v>32352.</v>
          </cell>
        </row>
        <row r="185">
          <cell r="A185" t="str">
            <v>32353.</v>
          </cell>
        </row>
        <row r="186">
          <cell r="A186" t="str">
            <v>32354.</v>
          </cell>
        </row>
        <row r="187">
          <cell r="A187" t="str">
            <v>32355.</v>
          </cell>
        </row>
        <row r="188">
          <cell r="A188" t="str">
            <v>32359.</v>
          </cell>
        </row>
        <row r="189">
          <cell r="A189" t="str">
            <v>3236.</v>
          </cell>
        </row>
        <row r="190">
          <cell r="A190" t="str">
            <v>32361.</v>
          </cell>
        </row>
        <row r="191">
          <cell r="A191" t="str">
            <v>32362.</v>
          </cell>
        </row>
        <row r="192">
          <cell r="A192" t="str">
            <v>32363.</v>
          </cell>
        </row>
        <row r="193">
          <cell r="A193" t="str">
            <v>32369.</v>
          </cell>
        </row>
        <row r="194">
          <cell r="A194" t="str">
            <v>32369.1.</v>
          </cell>
        </row>
        <row r="195">
          <cell r="A195" t="str">
            <v>32369.2.</v>
          </cell>
        </row>
        <row r="196">
          <cell r="A196" t="str">
            <v>3237.</v>
          </cell>
        </row>
        <row r="197">
          <cell r="A197" t="str">
            <v>32371.</v>
          </cell>
        </row>
        <row r="198">
          <cell r="A198" t="str">
            <v>32372.</v>
          </cell>
        </row>
        <row r="199">
          <cell r="A199" t="str">
            <v>32373.</v>
          </cell>
        </row>
        <row r="200">
          <cell r="A200" t="str">
            <v>32374.</v>
          </cell>
        </row>
        <row r="201">
          <cell r="A201" t="str">
            <v>32375.</v>
          </cell>
        </row>
        <row r="202">
          <cell r="A202" t="str">
            <v>32376.</v>
          </cell>
        </row>
        <row r="203">
          <cell r="A203" t="str">
            <v>32377.</v>
          </cell>
        </row>
        <row r="204">
          <cell r="A204" t="str">
            <v>32377.1.</v>
          </cell>
        </row>
        <row r="205">
          <cell r="A205" t="str">
            <v>32378.</v>
          </cell>
        </row>
        <row r="206">
          <cell r="A206" t="str">
            <v>32379.</v>
          </cell>
        </row>
        <row r="207">
          <cell r="A207" t="str">
            <v>3238.</v>
          </cell>
        </row>
        <row r="208">
          <cell r="A208" t="str">
            <v>32381.</v>
          </cell>
        </row>
        <row r="209">
          <cell r="A209" t="str">
            <v>3239.</v>
          </cell>
        </row>
        <row r="210">
          <cell r="A210" t="str">
            <v>32391.</v>
          </cell>
        </row>
        <row r="211">
          <cell r="A211" t="str">
            <v>32393.</v>
          </cell>
        </row>
        <row r="212">
          <cell r="A212" t="str">
            <v>32394.</v>
          </cell>
        </row>
        <row r="213">
          <cell r="A213" t="str">
            <v>32395.</v>
          </cell>
        </row>
        <row r="214">
          <cell r="A214" t="str">
            <v>32395.1.</v>
          </cell>
        </row>
        <row r="215">
          <cell r="A215" t="str">
            <v>32396.</v>
          </cell>
        </row>
        <row r="216">
          <cell r="A216" t="str">
            <v>32399.</v>
          </cell>
        </row>
        <row r="217">
          <cell r="A217" t="str">
            <v>324.</v>
          </cell>
        </row>
        <row r="218">
          <cell r="A218" t="str">
            <v>3241.</v>
          </cell>
        </row>
        <row r="219">
          <cell r="A219" t="str">
            <v>32411.</v>
          </cell>
        </row>
        <row r="220">
          <cell r="A220" t="str">
            <v>32412.</v>
          </cell>
        </row>
        <row r="221">
          <cell r="A221" t="str">
            <v>329.</v>
          </cell>
        </row>
        <row r="222">
          <cell r="A222" t="str">
            <v>3291.</v>
          </cell>
        </row>
        <row r="223">
          <cell r="A223" t="str">
            <v>32911.</v>
          </cell>
        </row>
        <row r="224">
          <cell r="A224" t="str">
            <v>32914.</v>
          </cell>
        </row>
        <row r="225">
          <cell r="A225" t="str">
            <v>3292.</v>
          </cell>
        </row>
        <row r="226">
          <cell r="A226" t="str">
            <v>32921.</v>
          </cell>
        </row>
        <row r="227">
          <cell r="A227" t="str">
            <v>32921.1.</v>
          </cell>
        </row>
        <row r="228">
          <cell r="A228" t="str">
            <v>32922.</v>
          </cell>
        </row>
        <row r="229">
          <cell r="A229" t="str">
            <v>32923.</v>
          </cell>
        </row>
        <row r="230">
          <cell r="A230" t="str">
            <v>3293.</v>
          </cell>
        </row>
        <row r="231">
          <cell r="A231" t="str">
            <v>32931.</v>
          </cell>
        </row>
        <row r="232">
          <cell r="A232" t="str">
            <v>3294.</v>
          </cell>
        </row>
        <row r="233">
          <cell r="A233" t="str">
            <v>32941.</v>
          </cell>
        </row>
        <row r="234">
          <cell r="A234" t="str">
            <v>32942.</v>
          </cell>
        </row>
        <row r="235">
          <cell r="A235" t="str">
            <v>3295.</v>
          </cell>
        </row>
        <row r="236">
          <cell r="A236" t="str">
            <v>32951.</v>
          </cell>
        </row>
        <row r="237">
          <cell r="A237" t="str">
            <v>32952.</v>
          </cell>
        </row>
        <row r="238">
          <cell r="A238" t="str">
            <v>32953.</v>
          </cell>
        </row>
        <row r="239">
          <cell r="A239" t="str">
            <v>32955.</v>
          </cell>
        </row>
        <row r="240">
          <cell r="A240" t="str">
            <v>32959.</v>
          </cell>
        </row>
        <row r="241">
          <cell r="A241" t="str">
            <v>32959.1.</v>
          </cell>
        </row>
        <row r="242">
          <cell r="A242" t="str">
            <v>32959.2.</v>
          </cell>
        </row>
        <row r="243">
          <cell r="A243" t="str">
            <v>32959.3.</v>
          </cell>
        </row>
        <row r="244">
          <cell r="A244" t="str">
            <v>32959.4.</v>
          </cell>
        </row>
        <row r="245">
          <cell r="A245" t="str">
            <v>32959.5.</v>
          </cell>
        </row>
        <row r="246">
          <cell r="A246" t="str">
            <v>32959.6.</v>
          </cell>
        </row>
        <row r="247">
          <cell r="A247" t="str">
            <v>32959.7.</v>
          </cell>
        </row>
        <row r="248">
          <cell r="A248" t="str">
            <v>32959.8.</v>
          </cell>
        </row>
        <row r="249">
          <cell r="A249" t="str">
            <v>32959.9.</v>
          </cell>
        </row>
        <row r="250">
          <cell r="A250" t="str">
            <v>32959.10.</v>
          </cell>
        </row>
        <row r="251">
          <cell r="A251" t="str">
            <v>32959.11.</v>
          </cell>
        </row>
        <row r="252">
          <cell r="A252" t="str">
            <v>32959.12.</v>
          </cell>
        </row>
        <row r="253">
          <cell r="A253" t="str">
            <v>3296.</v>
          </cell>
        </row>
        <row r="254">
          <cell r="A254" t="str">
            <v>32961.</v>
          </cell>
        </row>
        <row r="255">
          <cell r="A255" t="str">
            <v>3299.</v>
          </cell>
        </row>
        <row r="256">
          <cell r="A256" t="str">
            <v>32999.</v>
          </cell>
        </row>
        <row r="257">
          <cell r="A257" t="str">
            <v>32999.1.</v>
          </cell>
        </row>
        <row r="258">
          <cell r="A258" t="str">
            <v>32999.2.</v>
          </cell>
        </row>
        <row r="259">
          <cell r="A259" t="str">
            <v>32999.3.</v>
          </cell>
        </row>
        <row r="260">
          <cell r="A260" t="str">
            <v>32999.4.</v>
          </cell>
        </row>
        <row r="261">
          <cell r="A261" t="str">
            <v>32999.5.</v>
          </cell>
        </row>
        <row r="262">
          <cell r="A262" t="str">
            <v>32999.6.</v>
          </cell>
        </row>
        <row r="263">
          <cell r="A263" t="str">
            <v>32999.7.</v>
          </cell>
        </row>
        <row r="264">
          <cell r="A264" t="str">
            <v>32999.8.</v>
          </cell>
        </row>
        <row r="265">
          <cell r="A265" t="str">
            <v>32999.9.</v>
          </cell>
        </row>
        <row r="266">
          <cell r="A266" t="str">
            <v>32999.10.</v>
          </cell>
        </row>
        <row r="267">
          <cell r="A267" t="str">
            <v>34.</v>
          </cell>
        </row>
        <row r="268">
          <cell r="A268" t="str">
            <v>342.</v>
          </cell>
        </row>
        <row r="269">
          <cell r="A269" t="str">
            <v>3423.</v>
          </cell>
        </row>
        <row r="270">
          <cell r="A270" t="str">
            <v>34233.</v>
          </cell>
        </row>
        <row r="271">
          <cell r="A271" t="str">
            <v>34233.1.</v>
          </cell>
        </row>
        <row r="272">
          <cell r="A272" t="str">
            <v>34233.2.</v>
          </cell>
        </row>
        <row r="273">
          <cell r="A273" t="str">
            <v>34233.3.</v>
          </cell>
        </row>
        <row r="274">
          <cell r="A274" t="str">
            <v>34233.4.</v>
          </cell>
        </row>
        <row r="275">
          <cell r="A275" t="str">
            <v>343.</v>
          </cell>
        </row>
        <row r="276">
          <cell r="A276" t="str">
            <v>3431.</v>
          </cell>
        </row>
        <row r="277">
          <cell r="A277" t="str">
            <v>34311.</v>
          </cell>
        </row>
        <row r="278">
          <cell r="A278" t="str">
            <v>34312.</v>
          </cell>
        </row>
        <row r="279">
          <cell r="A279" t="str">
            <v>3432.</v>
          </cell>
        </row>
        <row r="280">
          <cell r="A280" t="str">
            <v>34321.</v>
          </cell>
        </row>
        <row r="281">
          <cell r="A281" t="str">
            <v>34321.1.</v>
          </cell>
        </row>
        <row r="282">
          <cell r="A282" t="str">
            <v>3433.</v>
          </cell>
        </row>
        <row r="283">
          <cell r="A283" t="str">
            <v>34331.</v>
          </cell>
        </row>
        <row r="284">
          <cell r="A284" t="str">
            <v>34332.</v>
          </cell>
        </row>
        <row r="285">
          <cell r="A285" t="str">
            <v>34333.</v>
          </cell>
        </row>
        <row r="286">
          <cell r="A286" t="str">
            <v>34339.</v>
          </cell>
        </row>
        <row r="287">
          <cell r="A287" t="str">
            <v>3434.</v>
          </cell>
        </row>
        <row r="288">
          <cell r="A288" t="str">
            <v>34349.</v>
          </cell>
        </row>
        <row r="289">
          <cell r="A289" t="str">
            <v>36.</v>
          </cell>
        </row>
        <row r="290">
          <cell r="A290" t="str">
            <v>363.</v>
          </cell>
        </row>
        <row r="291">
          <cell r="A291" t="str">
            <v>3631.</v>
          </cell>
        </row>
        <row r="292">
          <cell r="A292" t="str">
            <v>36314.</v>
          </cell>
        </row>
        <row r="293">
          <cell r="A293" t="str">
            <v>366.</v>
          </cell>
        </row>
        <row r="294">
          <cell r="A294" t="str">
            <v>3661.</v>
          </cell>
        </row>
        <row r="295">
          <cell r="A295" t="str">
            <v>36611.</v>
          </cell>
        </row>
        <row r="296">
          <cell r="A296" t="str">
            <v>37.</v>
          </cell>
        </row>
        <row r="297">
          <cell r="A297" t="str">
            <v>372.</v>
          </cell>
        </row>
        <row r="298">
          <cell r="A298" t="str">
            <v>3721.</v>
          </cell>
        </row>
        <row r="299">
          <cell r="A299" t="str">
            <v>37215.</v>
          </cell>
        </row>
        <row r="300">
          <cell r="A300" t="str">
            <v>38.</v>
          </cell>
        </row>
        <row r="301">
          <cell r="A301" t="str">
            <v>381.</v>
          </cell>
        </row>
        <row r="302">
          <cell r="A302" t="str">
            <v>3811.</v>
          </cell>
        </row>
        <row r="303">
          <cell r="A303" t="str">
            <v>38111.</v>
          </cell>
        </row>
        <row r="304">
          <cell r="A304" t="str">
            <v>38114.</v>
          </cell>
        </row>
        <row r="305">
          <cell r="A305" t="str">
            <v>38115.</v>
          </cell>
        </row>
        <row r="306">
          <cell r="A306" t="str">
            <v>38117.</v>
          </cell>
        </row>
        <row r="307">
          <cell r="A307" t="str">
            <v>38118.</v>
          </cell>
        </row>
        <row r="308">
          <cell r="A308" t="str">
            <v>38119.</v>
          </cell>
        </row>
        <row r="309">
          <cell r="A309" t="str">
            <v>3812.</v>
          </cell>
        </row>
        <row r="310">
          <cell r="A310" t="str">
            <v>38121.</v>
          </cell>
        </row>
        <row r="311">
          <cell r="A311" t="str">
            <v>38129.</v>
          </cell>
        </row>
        <row r="312">
          <cell r="A312" t="str">
            <v>383.</v>
          </cell>
        </row>
        <row r="313">
          <cell r="A313" t="str">
            <v>3831.</v>
          </cell>
        </row>
        <row r="314">
          <cell r="A314" t="str">
            <v>38319.</v>
          </cell>
        </row>
        <row r="315">
          <cell r="A315" t="str">
            <v>3833.</v>
          </cell>
        </row>
        <row r="316">
          <cell r="A316" t="str">
            <v>38331.</v>
          </cell>
        </row>
        <row r="317">
          <cell r="A317" t="str">
            <v>3834.</v>
          </cell>
        </row>
        <row r="318">
          <cell r="A318" t="str">
            <v>38341.</v>
          </cell>
        </row>
        <row r="319">
          <cell r="A319" t="str">
            <v>3835.</v>
          </cell>
        </row>
        <row r="320">
          <cell r="A320" t="str">
            <v>38351.</v>
          </cell>
        </row>
        <row r="322">
          <cell r="A322" t="str">
            <v>7.</v>
          </cell>
        </row>
        <row r="323">
          <cell r="A323" t="str">
            <v>72.</v>
          </cell>
        </row>
        <row r="324">
          <cell r="A324" t="str">
            <v>721.</v>
          </cell>
        </row>
        <row r="325">
          <cell r="A325" t="str">
            <v>7211.</v>
          </cell>
        </row>
        <row r="326">
          <cell r="A326" t="str">
            <v>72111.</v>
          </cell>
        </row>
        <row r="327">
          <cell r="A327" t="str">
            <v>722.</v>
          </cell>
        </row>
        <row r="328">
          <cell r="A328" t="str">
            <v>7222.</v>
          </cell>
        </row>
        <row r="329">
          <cell r="A329" t="str">
            <v>72222.</v>
          </cell>
        </row>
        <row r="331">
          <cell r="A331" t="str">
            <v>4.</v>
          </cell>
        </row>
        <row r="332">
          <cell r="A332" t="str">
            <v>41.</v>
          </cell>
        </row>
        <row r="333">
          <cell r="A333" t="str">
            <v>412.</v>
          </cell>
        </row>
        <row r="334">
          <cell r="A334" t="str">
            <v>4123.</v>
          </cell>
        </row>
        <row r="335">
          <cell r="A335" t="str">
            <v>41231.</v>
          </cell>
        </row>
        <row r="336">
          <cell r="A336" t="str">
            <v>4124.</v>
          </cell>
        </row>
        <row r="337">
          <cell r="A337" t="str">
            <v>41241.</v>
          </cell>
        </row>
        <row r="338">
          <cell r="A338" t="str">
            <v>42.</v>
          </cell>
        </row>
        <row r="339">
          <cell r="A339" t="str">
            <v>421.</v>
          </cell>
        </row>
        <row r="340">
          <cell r="A340" t="str">
            <v>4212.</v>
          </cell>
        </row>
        <row r="341">
          <cell r="A341" t="str">
            <v>42125.</v>
          </cell>
        </row>
        <row r="342">
          <cell r="A342" t="str">
            <v>42129.</v>
          </cell>
        </row>
        <row r="343">
          <cell r="A343" t="str">
            <v>4213.</v>
          </cell>
        </row>
        <row r="344">
          <cell r="A344" t="str">
            <v>42134.</v>
          </cell>
        </row>
        <row r="345">
          <cell r="A345" t="str">
            <v>42139.</v>
          </cell>
        </row>
        <row r="346">
          <cell r="A346" t="str">
            <v>4214.</v>
          </cell>
        </row>
        <row r="347">
          <cell r="A347" t="str">
            <v>42145.</v>
          </cell>
        </row>
        <row r="348">
          <cell r="A348" t="str">
            <v>42146.</v>
          </cell>
        </row>
        <row r="349">
          <cell r="A349" t="str">
            <v>42149.</v>
          </cell>
        </row>
        <row r="350">
          <cell r="A350" t="str">
            <v>422.</v>
          </cell>
        </row>
        <row r="351">
          <cell r="A351" t="str">
            <v>4221.</v>
          </cell>
        </row>
        <row r="352">
          <cell r="A352" t="str">
            <v>42211.</v>
          </cell>
        </row>
        <row r="353">
          <cell r="A353" t="str">
            <v>42212.</v>
          </cell>
        </row>
        <row r="354">
          <cell r="A354" t="str">
            <v>42219.</v>
          </cell>
        </row>
        <row r="355">
          <cell r="A355" t="str">
            <v>4222.</v>
          </cell>
        </row>
        <row r="356">
          <cell r="A356" t="str">
            <v>42221.</v>
          </cell>
        </row>
        <row r="357">
          <cell r="A357" t="str">
            <v>42222.</v>
          </cell>
        </row>
        <row r="358">
          <cell r="A358" t="str">
            <v>42223.</v>
          </cell>
        </row>
        <row r="359">
          <cell r="A359" t="str">
            <v>42229.</v>
          </cell>
        </row>
        <row r="360">
          <cell r="A360" t="str">
            <v>4223.</v>
          </cell>
        </row>
        <row r="361">
          <cell r="A361" t="str">
            <v>42231.</v>
          </cell>
        </row>
        <row r="362">
          <cell r="A362" t="str">
            <v>42232.</v>
          </cell>
        </row>
        <row r="363">
          <cell r="A363" t="str">
            <v>42233.</v>
          </cell>
        </row>
        <row r="364">
          <cell r="A364" t="str">
            <v>42239.</v>
          </cell>
        </row>
        <row r="365">
          <cell r="A365" t="str">
            <v>4224.</v>
          </cell>
        </row>
        <row r="366">
          <cell r="A366" t="str">
            <v>42241.</v>
          </cell>
        </row>
        <row r="367">
          <cell r="A367" t="str">
            <v>42242.</v>
          </cell>
        </row>
        <row r="368">
          <cell r="A368" t="str">
            <v>4225.</v>
          </cell>
        </row>
        <row r="369">
          <cell r="A369" t="str">
            <v>42252.</v>
          </cell>
        </row>
        <row r="370">
          <cell r="A370" t="str">
            <v>4226.</v>
          </cell>
        </row>
        <row r="371">
          <cell r="A371" t="str">
            <v>42261.</v>
          </cell>
        </row>
        <row r="372">
          <cell r="A372" t="str">
            <v>4227.</v>
          </cell>
        </row>
        <row r="373">
          <cell r="A373" t="str">
            <v>42271.</v>
          </cell>
        </row>
        <row r="374">
          <cell r="A374" t="str">
            <v>42272.</v>
          </cell>
        </row>
        <row r="375">
          <cell r="A375" t="str">
            <v>42273.</v>
          </cell>
        </row>
        <row r="376">
          <cell r="A376" t="str">
            <v>423.</v>
          </cell>
        </row>
        <row r="377">
          <cell r="A377" t="str">
            <v>4231.</v>
          </cell>
        </row>
        <row r="378">
          <cell r="A378" t="str">
            <v>42311.</v>
          </cell>
        </row>
        <row r="379">
          <cell r="A379" t="str">
            <v>42312.</v>
          </cell>
        </row>
        <row r="380">
          <cell r="A380" t="str">
            <v>42313.</v>
          </cell>
        </row>
        <row r="381">
          <cell r="A381" t="str">
            <v>42316.</v>
          </cell>
        </row>
        <row r="382">
          <cell r="A382" t="str">
            <v>42319.</v>
          </cell>
        </row>
        <row r="383">
          <cell r="A383" t="str">
            <v>4233.</v>
          </cell>
        </row>
        <row r="384">
          <cell r="A384" t="str">
            <v>42331.</v>
          </cell>
        </row>
        <row r="385">
          <cell r="A385" t="str">
            <v>424.</v>
          </cell>
        </row>
        <row r="386">
          <cell r="A386" t="str">
            <v>4241.</v>
          </cell>
        </row>
        <row r="387">
          <cell r="A387" t="str">
            <v>42411.</v>
          </cell>
        </row>
        <row r="388">
          <cell r="A388" t="str">
            <v>4244.</v>
          </cell>
        </row>
        <row r="389">
          <cell r="A389" t="str">
            <v>42441.</v>
          </cell>
        </row>
        <row r="390">
          <cell r="A390" t="str">
            <v>426.</v>
          </cell>
        </row>
        <row r="391">
          <cell r="A391" t="str">
            <v>4262.</v>
          </cell>
        </row>
        <row r="392">
          <cell r="A392" t="str">
            <v>42621.</v>
          </cell>
        </row>
        <row r="393">
          <cell r="A393" t="str">
            <v>4263.</v>
          </cell>
        </row>
        <row r="394">
          <cell r="A394" t="str">
            <v>42637.</v>
          </cell>
        </row>
        <row r="395">
          <cell r="A395" t="str">
            <v>428.</v>
          </cell>
        </row>
        <row r="396">
          <cell r="A396" t="str">
            <v>4281.</v>
          </cell>
        </row>
        <row r="397">
          <cell r="A397" t="str">
            <v>42811.</v>
          </cell>
        </row>
        <row r="398">
          <cell r="A398" t="str">
            <v>45.</v>
          </cell>
        </row>
        <row r="399">
          <cell r="A399" t="str">
            <v>451.</v>
          </cell>
        </row>
        <row r="400">
          <cell r="A400" t="str">
            <v>4511.</v>
          </cell>
        </row>
        <row r="401">
          <cell r="A401" t="str">
            <v>45111.</v>
          </cell>
        </row>
        <row r="402">
          <cell r="A402" t="str">
            <v>452.</v>
          </cell>
        </row>
        <row r="403">
          <cell r="A403" t="str">
            <v>4521.</v>
          </cell>
        </row>
        <row r="404">
          <cell r="A404" t="str">
            <v>45211.</v>
          </cell>
        </row>
        <row r="405">
          <cell r="A405" t="str">
            <v>453.</v>
          </cell>
        </row>
        <row r="406">
          <cell r="A406" t="str">
            <v>4531.</v>
          </cell>
        </row>
        <row r="407">
          <cell r="A407" t="str">
            <v>45311.</v>
          </cell>
        </row>
        <row r="408">
          <cell r="A408" t="str">
            <v>454.</v>
          </cell>
        </row>
        <row r="409">
          <cell r="A409" t="str">
            <v>4541.</v>
          </cell>
        </row>
        <row r="410">
          <cell r="A410" t="str">
            <v>45411.</v>
          </cell>
        </row>
        <row r="412">
          <cell r="A412" t="str">
            <v>5.</v>
          </cell>
        </row>
        <row r="413">
          <cell r="A413" t="str">
            <v>51.</v>
          </cell>
        </row>
        <row r="414">
          <cell r="A414" t="str">
            <v>516.</v>
          </cell>
        </row>
        <row r="415">
          <cell r="A415" t="str">
            <v>5163.</v>
          </cell>
        </row>
        <row r="416">
          <cell r="A416" t="str">
            <v>51631.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.'12.cto - ID 05.12.'12"/>
      <sheetName val="Plan inv.'12.cto - ID 08.11.'12"/>
      <sheetName val="Inv. održ'12- I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view="pageBreakPreview" zoomScaleNormal="100" zoomScaleSheetLayoutView="100" workbookViewId="0">
      <selection activeCell="A3" sqref="A3:G3"/>
    </sheetView>
  </sheetViews>
  <sheetFormatPr defaultRowHeight="11.25" x14ac:dyDescent="0.15"/>
  <cols>
    <col min="1" max="1" width="53.7109375" style="1" bestFit="1" customWidth="1"/>
    <col min="2" max="5" width="15.85546875" style="1" customWidth="1"/>
    <col min="6" max="6" width="9.140625" style="1" customWidth="1"/>
    <col min="7" max="16384" width="9.140625" style="1"/>
  </cols>
  <sheetData>
    <row r="1" spans="1:8" s="2" customFormat="1" ht="37.5" customHeight="1" x14ac:dyDescent="0.25">
      <c r="A1" s="111" t="s">
        <v>176</v>
      </c>
      <c r="B1" s="111"/>
      <c r="C1" s="111"/>
      <c r="D1" s="111"/>
      <c r="E1" s="111"/>
      <c r="F1" s="111"/>
      <c r="G1" s="111"/>
    </row>
    <row r="2" spans="1:8" x14ac:dyDescent="0.15">
      <c r="A2" s="3"/>
      <c r="B2" s="3"/>
      <c r="C2" s="3"/>
      <c r="D2" s="3"/>
      <c r="E2" s="3"/>
      <c r="F2" s="3"/>
    </row>
    <row r="3" spans="1:8" ht="15" x14ac:dyDescent="0.25">
      <c r="A3" s="112" t="s">
        <v>168</v>
      </c>
      <c r="B3" s="112"/>
      <c r="C3" s="112"/>
      <c r="D3" s="112"/>
      <c r="E3" s="112"/>
      <c r="F3" s="112"/>
      <c r="G3" s="112"/>
    </row>
    <row r="4" spans="1:8" ht="30.75" customHeight="1" x14ac:dyDescent="0.15">
      <c r="A4" s="113" t="s">
        <v>169</v>
      </c>
      <c r="B4" s="113"/>
      <c r="C4" s="113"/>
      <c r="D4" s="113"/>
      <c r="E4" s="113"/>
      <c r="F4" s="113"/>
      <c r="G4" s="113"/>
    </row>
    <row r="5" spans="1:8" ht="12.75" x14ac:dyDescent="0.2">
      <c r="A5" s="14" t="s">
        <v>13</v>
      </c>
      <c r="B5" s="5"/>
    </row>
    <row r="7" spans="1:8" s="6" customFormat="1" ht="43.5" customHeight="1" x14ac:dyDescent="0.15">
      <c r="A7" s="15" t="s">
        <v>0</v>
      </c>
      <c r="B7" s="15" t="s">
        <v>18</v>
      </c>
      <c r="C7" s="15" t="s">
        <v>19</v>
      </c>
      <c r="D7" s="15" t="s">
        <v>10</v>
      </c>
      <c r="E7" s="15" t="s">
        <v>20</v>
      </c>
      <c r="F7" s="15" t="s">
        <v>1</v>
      </c>
      <c r="G7" s="15" t="s">
        <v>1</v>
      </c>
      <c r="H7" s="4"/>
    </row>
    <row r="8" spans="1:8" s="8" customFormat="1" x14ac:dyDescent="0.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 t="s">
        <v>15</v>
      </c>
      <c r="G8" s="7" t="s">
        <v>16</v>
      </c>
    </row>
    <row r="9" spans="1:8" s="11" customFormat="1" ht="18.75" customHeight="1" x14ac:dyDescent="0.25">
      <c r="A9" s="53" t="s">
        <v>2</v>
      </c>
      <c r="B9" s="9">
        <f>351172134.96/7.5345</f>
        <v>46608551.988851279</v>
      </c>
      <c r="C9" s="9">
        <v>56034603</v>
      </c>
      <c r="D9" s="9">
        <v>56034603</v>
      </c>
      <c r="E9" s="107">
        <v>57804261.709999993</v>
      </c>
      <c r="F9" s="10">
        <f>IF(B9&gt;0,E9/B9*100,"x")</f>
        <v>124.02071989669774</v>
      </c>
      <c r="G9" s="10">
        <f>IF(D9&gt;0,E9/D9*100,"x")</f>
        <v>103.15815338247332</v>
      </c>
    </row>
    <row r="10" spans="1:8" s="11" customFormat="1" ht="18.75" customHeight="1" x14ac:dyDescent="0.25">
      <c r="A10" s="54" t="s">
        <v>3</v>
      </c>
      <c r="B10" s="9">
        <f>95104/7.5345</f>
        <v>12622.469971464596</v>
      </c>
      <c r="C10" s="9">
        <v>0</v>
      </c>
      <c r="D10" s="9">
        <v>0</v>
      </c>
      <c r="E10" s="9">
        <v>0</v>
      </c>
      <c r="F10" s="10">
        <f>IF(B10&gt;0,E10/B10*100,"x")</f>
        <v>0</v>
      </c>
      <c r="G10" s="10" t="str">
        <f>IF(D10&gt;0,E10/D10*100,"x")</f>
        <v>x</v>
      </c>
    </row>
    <row r="11" spans="1:8" s="11" customFormat="1" ht="18.75" customHeight="1" x14ac:dyDescent="0.25">
      <c r="A11" s="108" t="s">
        <v>4</v>
      </c>
      <c r="B11" s="109">
        <f>SUM(B9:B10)</f>
        <v>46621174.458822742</v>
      </c>
      <c r="C11" s="109">
        <f>SUM(C9:C10)</f>
        <v>56034603</v>
      </c>
      <c r="D11" s="109">
        <f>SUM(D9:D10)</f>
        <v>56034603</v>
      </c>
      <c r="E11" s="109">
        <f>SUM(E9:E10)</f>
        <v>57804261.709999993</v>
      </c>
      <c r="F11" s="110">
        <f t="shared" ref="F11" si="0">E11/B11*100</f>
        <v>123.98714185343935</v>
      </c>
      <c r="G11" s="110">
        <f t="shared" ref="G11" si="1">E11/D11*100</f>
        <v>103.15815338247332</v>
      </c>
    </row>
    <row r="12" spans="1:8" s="11" customFormat="1" ht="18.75" customHeight="1" x14ac:dyDescent="0.25">
      <c r="A12" s="53" t="s">
        <v>5</v>
      </c>
      <c r="B12" s="9">
        <f>220768428.93/7.5345</f>
        <v>29301005.896874376</v>
      </c>
      <c r="C12" s="9">
        <v>45040465</v>
      </c>
      <c r="D12" s="9">
        <v>45040465</v>
      </c>
      <c r="E12" s="9">
        <v>38862819.439999998</v>
      </c>
      <c r="F12" s="10">
        <f>IF(B12&gt;0,E12/B12*100,"x")</f>
        <v>132.63305559126078</v>
      </c>
      <c r="G12" s="10">
        <f>IF(D12&gt;0,E12/D12*100,"x")</f>
        <v>86.284232278685394</v>
      </c>
    </row>
    <row r="13" spans="1:8" s="11" customFormat="1" ht="18.75" customHeight="1" x14ac:dyDescent="0.25">
      <c r="A13" s="53" t="s">
        <v>6</v>
      </c>
      <c r="B13" s="9">
        <f>18069160.31/7.5345</f>
        <v>2398189.7020372949</v>
      </c>
      <c r="C13" s="9">
        <v>6645325</v>
      </c>
      <c r="D13" s="9">
        <v>6645325</v>
      </c>
      <c r="E13" s="9">
        <v>2387534.0299999998</v>
      </c>
      <c r="F13" s="10">
        <f t="shared" ref="F13" si="2">IF(B13&gt;0,E13/B13*100,"x")</f>
        <v>99.555678517498308</v>
      </c>
      <c r="G13" s="10">
        <f t="shared" ref="G13" si="3">IF(D13&gt;0,E13/D13*100,"x")</f>
        <v>35.92802504015981</v>
      </c>
    </row>
    <row r="14" spans="1:8" s="11" customFormat="1" ht="18.75" customHeight="1" x14ac:dyDescent="0.25">
      <c r="A14" s="108" t="s">
        <v>7</v>
      </c>
      <c r="B14" s="109">
        <f>SUM(B12:B13)</f>
        <v>31699195.598911669</v>
      </c>
      <c r="C14" s="109">
        <f t="shared" ref="C14:E14" si="4">SUM(C12:C13)</f>
        <v>51685790</v>
      </c>
      <c r="D14" s="109">
        <f t="shared" si="4"/>
        <v>51685790</v>
      </c>
      <c r="E14" s="109">
        <f t="shared" si="4"/>
        <v>41250353.469999999</v>
      </c>
      <c r="F14" s="110">
        <f>IF(B14&gt;0,E14/B14*100,"x")</f>
        <v>130.13060013237765</v>
      </c>
      <c r="G14" s="110">
        <f>IF(D14&gt;0,E14/D14*100,"x")</f>
        <v>79.809853868926055</v>
      </c>
    </row>
    <row r="15" spans="1:8" s="11" customFormat="1" ht="18.75" customHeight="1" x14ac:dyDescent="0.25">
      <c r="A15" s="108" t="s">
        <v>8</v>
      </c>
      <c r="B15" s="109">
        <f>B11-B14</f>
        <v>14921978.859911073</v>
      </c>
      <c r="C15" s="109">
        <f>C11-C14</f>
        <v>4348813</v>
      </c>
      <c r="D15" s="109">
        <f>D11-D14</f>
        <v>4348813</v>
      </c>
      <c r="E15" s="109">
        <f>E11-E14</f>
        <v>16553908.239999995</v>
      </c>
      <c r="F15" s="110">
        <f>E15/B15*100</f>
        <v>110.93641396633534</v>
      </c>
      <c r="G15" s="110">
        <f>E15/D15*100</f>
        <v>380.65348498544307</v>
      </c>
    </row>
    <row r="16" spans="1:8" s="2" customFormat="1" x14ac:dyDescent="0.25"/>
    <row r="17" spans="1:7" s="2" customFormat="1" x14ac:dyDescent="0.25"/>
    <row r="18" spans="1:7" s="2" customFormat="1" ht="12.75" x14ac:dyDescent="0.2">
      <c r="A18" s="14" t="s">
        <v>14</v>
      </c>
      <c r="B18" s="12"/>
    </row>
    <row r="19" spans="1:7" s="2" customFormat="1" x14ac:dyDescent="0.25"/>
    <row r="20" spans="1:7" s="13" customFormat="1" ht="43.5" customHeight="1" x14ac:dyDescent="0.25">
      <c r="A20" s="15" t="s">
        <v>0</v>
      </c>
      <c r="B20" s="15" t="str">
        <f>B7</f>
        <v>OSTVARENJE/ IZVRŠENJE          2022.</v>
      </c>
      <c r="C20" s="15" t="str">
        <f>C7</f>
        <v>REBALANS     2023.</v>
      </c>
      <c r="D20" s="15" t="str">
        <f>D7</f>
        <v>TEKUĆI PLAN     2023.</v>
      </c>
      <c r="E20" s="15" t="str">
        <f>E7</f>
        <v>OSTVARENJE/ IZVRŠENJE          2023.</v>
      </c>
      <c r="F20" s="15" t="s">
        <v>1</v>
      </c>
      <c r="G20" s="15" t="s">
        <v>1</v>
      </c>
    </row>
    <row r="21" spans="1:7" s="11" customFormat="1" x14ac:dyDescent="0.25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 t="s">
        <v>15</v>
      </c>
      <c r="G21" s="7" t="s">
        <v>16</v>
      </c>
    </row>
    <row r="22" spans="1:7" s="11" customFormat="1" ht="18.75" customHeight="1" x14ac:dyDescent="0.25">
      <c r="A22" s="53" t="s">
        <v>178</v>
      </c>
      <c r="B22" s="9"/>
      <c r="C22" s="9"/>
      <c r="D22" s="9"/>
      <c r="E22" s="9"/>
      <c r="F22" s="10" t="str">
        <f t="shared" ref="F22" si="5">IF(B22&gt;0,E22/B22*100,"x")</f>
        <v>x</v>
      </c>
      <c r="G22" s="10" t="str">
        <f t="shared" ref="G22:G23" si="6">IF(D22&gt;0,E22/D22*100,"x")</f>
        <v>x</v>
      </c>
    </row>
    <row r="23" spans="1:7" s="11" customFormat="1" ht="18.75" customHeight="1" x14ac:dyDescent="0.25">
      <c r="A23" s="53" t="s">
        <v>179</v>
      </c>
      <c r="B23" s="9"/>
      <c r="C23" s="9"/>
      <c r="D23" s="9"/>
      <c r="E23" s="9"/>
      <c r="F23" s="10" t="str">
        <f>IF(B23&gt;0,E23/B23*100,"x")</f>
        <v>x</v>
      </c>
      <c r="G23" s="10" t="str">
        <f>IF(D23&gt;0,E23/D23*100,"x")</f>
        <v>x</v>
      </c>
    </row>
    <row r="24" spans="1:7" s="11" customFormat="1" ht="18.75" customHeight="1" x14ac:dyDescent="0.25">
      <c r="A24" s="108" t="s">
        <v>180</v>
      </c>
      <c r="B24" s="109"/>
      <c r="C24" s="109"/>
      <c r="D24" s="109"/>
      <c r="E24" s="109"/>
      <c r="F24" s="110"/>
      <c r="G24" s="110"/>
    </row>
    <row r="25" spans="1:7" s="11" customFormat="1" ht="18.75" customHeight="1" x14ac:dyDescent="0.25">
      <c r="A25" s="53" t="s">
        <v>9</v>
      </c>
      <c r="B25" s="9">
        <f>317317363.62/7.5345</f>
        <v>42115251.658371486</v>
      </c>
      <c r="C25" s="9">
        <v>57037231</v>
      </c>
      <c r="D25" s="9">
        <v>57037231</v>
      </c>
      <c r="E25" s="9">
        <v>57037230.520000003</v>
      </c>
      <c r="F25" s="10">
        <f>IF(B25&gt;=0,E25/B25*100,"x")</f>
        <v>135.43129454068546</v>
      </c>
      <c r="G25" s="10">
        <f>IF(D25&gt;0,E25/D25*100,"x")</f>
        <v>99.999999158444425</v>
      </c>
    </row>
    <row r="26" spans="1:7" s="11" customFormat="1" ht="18.75" customHeight="1" x14ac:dyDescent="0.25">
      <c r="A26" s="53" t="s">
        <v>167</v>
      </c>
      <c r="B26" s="9">
        <f>-429747013.34/7.5345</f>
        <v>-57037230.518282562</v>
      </c>
      <c r="C26" s="9">
        <v>-61386044</v>
      </c>
      <c r="D26" s="9">
        <v>-61386044</v>
      </c>
      <c r="E26" s="9">
        <f>-(E25+E11-E14-1370203.85)</f>
        <v>-72220934.909999996</v>
      </c>
      <c r="F26" s="10">
        <f>E26/B26*100</f>
        <v>126.62069012423471</v>
      </c>
      <c r="G26" s="10">
        <f>E26/D26*100</f>
        <v>117.6504140094123</v>
      </c>
    </row>
    <row r="27" spans="1:7" s="11" customFormat="1" ht="18.75" customHeight="1" x14ac:dyDescent="0.25">
      <c r="A27" s="108" t="s">
        <v>11</v>
      </c>
      <c r="B27" s="109">
        <f>B25+B26</f>
        <v>-14921978.859911077</v>
      </c>
      <c r="C27" s="109">
        <f>C25+C26</f>
        <v>-4348813</v>
      </c>
      <c r="D27" s="109">
        <f>D25+D26</f>
        <v>-4348813</v>
      </c>
      <c r="E27" s="109">
        <f>E25+E26-1370203.85</f>
        <v>-16553908.239999993</v>
      </c>
      <c r="F27" s="110">
        <f>E27/B27*100</f>
        <v>110.93641396633529</v>
      </c>
      <c r="G27" s="110">
        <f>E27/D27*100</f>
        <v>380.65348498544301</v>
      </c>
    </row>
    <row r="28" spans="1:7" s="11" customFormat="1" ht="18.75" customHeight="1" x14ac:dyDescent="0.25">
      <c r="A28" s="53" t="s">
        <v>12</v>
      </c>
      <c r="B28" s="9">
        <f>B15+B27</f>
        <v>0</v>
      </c>
      <c r="C28" s="9">
        <f>C15+C27</f>
        <v>0</v>
      </c>
      <c r="D28" s="9">
        <f>D15+D27</f>
        <v>0</v>
      </c>
      <c r="E28" s="9">
        <f>E15+E27</f>
        <v>0</v>
      </c>
      <c r="F28" s="10" t="str">
        <f>IF(B28&gt;0,E28/B28*100,"x")</f>
        <v>x</v>
      </c>
      <c r="G28" s="10" t="str">
        <f>IF(D28&gt;0,E28/D28*100,"x")</f>
        <v>x</v>
      </c>
    </row>
    <row r="33" spans="2:2" x14ac:dyDescent="0.15">
      <c r="B33" s="43"/>
    </row>
  </sheetData>
  <mergeCells count="3">
    <mergeCell ref="A1:G1"/>
    <mergeCell ref="A3:G3"/>
    <mergeCell ref="A4:G4"/>
  </mergeCells>
  <phoneticPr fontId="18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95" orientation="landscape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showGridLines="0" view="pageBreakPreview" zoomScaleNormal="100" zoomScaleSheetLayoutView="100" workbookViewId="0">
      <pane ySplit="9" topLeftCell="A10" activePane="bottomLeft" state="frozen"/>
      <selection pane="bottomLeft" activeCell="A5" sqref="A5:H5"/>
    </sheetView>
  </sheetViews>
  <sheetFormatPr defaultRowHeight="14.25" x14ac:dyDescent="0.2"/>
  <cols>
    <col min="1" max="1" width="9.42578125" style="26" customWidth="1"/>
    <col min="2" max="2" width="55.85546875" style="26" customWidth="1"/>
    <col min="3" max="6" width="15.85546875" style="26" customWidth="1"/>
    <col min="7" max="16384" width="9.140625" style="26"/>
  </cols>
  <sheetData>
    <row r="1" spans="1:8" ht="33" customHeight="1" x14ac:dyDescent="0.2">
      <c r="A1" s="111" t="s">
        <v>177</v>
      </c>
      <c r="B1" s="111"/>
      <c r="C1" s="111"/>
      <c r="D1" s="111"/>
      <c r="E1" s="111"/>
      <c r="F1" s="111"/>
      <c r="G1" s="111"/>
      <c r="H1" s="111"/>
    </row>
    <row r="2" spans="1:8" x14ac:dyDescent="0.2">
      <c r="A2" s="27"/>
      <c r="B2" s="27"/>
      <c r="C2" s="28"/>
      <c r="D2" s="28"/>
      <c r="E2" s="28"/>
      <c r="F2" s="28"/>
      <c r="G2" s="28"/>
    </row>
    <row r="3" spans="1:8" ht="15" x14ac:dyDescent="0.25">
      <c r="A3" s="112" t="s">
        <v>168</v>
      </c>
      <c r="B3" s="112"/>
      <c r="C3" s="112"/>
      <c r="D3" s="112"/>
      <c r="E3" s="112"/>
      <c r="F3" s="112"/>
      <c r="G3" s="112"/>
      <c r="H3" s="112"/>
    </row>
    <row r="4" spans="1:8" ht="33" customHeight="1" x14ac:dyDescent="0.2">
      <c r="A4" s="113" t="s">
        <v>170</v>
      </c>
      <c r="B4" s="113"/>
      <c r="C4" s="113"/>
      <c r="D4" s="113"/>
      <c r="E4" s="113"/>
      <c r="F4" s="113"/>
      <c r="G4" s="113"/>
      <c r="H4" s="113"/>
    </row>
    <row r="5" spans="1:8" ht="15" x14ac:dyDescent="0.25">
      <c r="A5" s="112" t="s">
        <v>171</v>
      </c>
      <c r="B5" s="112"/>
      <c r="C5" s="112"/>
      <c r="D5" s="112"/>
      <c r="E5" s="112"/>
      <c r="F5" s="112"/>
      <c r="G5" s="112"/>
      <c r="H5" s="112"/>
    </row>
    <row r="7" spans="1:8" ht="39.950000000000003" customHeight="1" x14ac:dyDescent="0.2">
      <c r="A7" s="114" t="s">
        <v>0</v>
      </c>
      <c r="B7" s="115"/>
      <c r="C7" s="15" t="s">
        <v>18</v>
      </c>
      <c r="D7" s="15" t="s">
        <v>19</v>
      </c>
      <c r="E7" s="15" t="s">
        <v>10</v>
      </c>
      <c r="F7" s="15" t="s">
        <v>20</v>
      </c>
      <c r="G7" s="17" t="s">
        <v>1</v>
      </c>
      <c r="H7" s="17" t="s">
        <v>1</v>
      </c>
    </row>
    <row r="8" spans="1:8" ht="11.25" customHeight="1" x14ac:dyDescent="0.2">
      <c r="A8" s="116">
        <v>1</v>
      </c>
      <c r="B8" s="117"/>
      <c r="C8" s="16">
        <v>2</v>
      </c>
      <c r="D8" s="16">
        <v>3</v>
      </c>
      <c r="E8" s="16">
        <v>4</v>
      </c>
      <c r="F8" s="16">
        <v>5</v>
      </c>
      <c r="G8" s="16" t="s">
        <v>15</v>
      </c>
      <c r="H8" s="16" t="s">
        <v>16</v>
      </c>
    </row>
    <row r="9" spans="1:8" ht="13.5" customHeight="1" x14ac:dyDescent="0.2">
      <c r="A9" s="80" t="s">
        <v>165</v>
      </c>
      <c r="B9" s="20"/>
      <c r="C9" s="71">
        <f>C10+C33</f>
        <v>46621174.458822735</v>
      </c>
      <c r="D9" s="71">
        <f t="shared" ref="D9:F9" si="0">D10+D33</f>
        <v>56034603</v>
      </c>
      <c r="E9" s="71">
        <f t="shared" si="0"/>
        <v>56034603</v>
      </c>
      <c r="F9" s="71">
        <f t="shared" si="0"/>
        <v>57804261.709999986</v>
      </c>
      <c r="G9" s="72">
        <f>F9/C9*100</f>
        <v>123.98714185343937</v>
      </c>
      <c r="H9" s="72">
        <f>F9/E9*100</f>
        <v>103.1581533824733</v>
      </c>
    </row>
    <row r="10" spans="1:8" ht="13.5" customHeight="1" x14ac:dyDescent="0.2">
      <c r="A10" s="81">
        <v>6</v>
      </c>
      <c r="B10" s="29" t="s">
        <v>111</v>
      </c>
      <c r="C10" s="36">
        <f>C13+C16+C17+C18+C21+C24+C25+C27+C30+C32</f>
        <v>46608551.988851272</v>
      </c>
      <c r="D10" s="36">
        <f>D11+D14+D19+D22+D28</f>
        <v>56034603</v>
      </c>
      <c r="E10" s="36">
        <f>E11+E14+E19+E22+E28</f>
        <v>56034603</v>
      </c>
      <c r="F10" s="36">
        <f t="shared" ref="F10" si="1">F13+F16+F17+F18+F21+F24+F25+F27+F30+F32</f>
        <v>57804261.709999986</v>
      </c>
      <c r="G10" s="73">
        <f t="shared" ref="G10:G38" si="2">F10/C10*100</f>
        <v>124.02071989669776</v>
      </c>
      <c r="H10" s="73">
        <f t="shared" ref="H10:H28" si="3">F10/E10*100</f>
        <v>103.1581533824733</v>
      </c>
    </row>
    <row r="11" spans="1:8" ht="25.5" x14ac:dyDescent="0.2">
      <c r="A11" s="45">
        <v>63</v>
      </c>
      <c r="B11" s="56" t="s">
        <v>110</v>
      </c>
      <c r="C11" s="31">
        <f>C12</f>
        <v>35574.445550467841</v>
      </c>
      <c r="D11" s="31">
        <v>125906</v>
      </c>
      <c r="E11" s="31">
        <v>125906</v>
      </c>
      <c r="F11" s="31">
        <f t="shared" ref="F11:F12" si="4">F12</f>
        <v>125923.69</v>
      </c>
      <c r="G11" s="74">
        <f t="shared" si="2"/>
        <v>353.97231931937722</v>
      </c>
      <c r="H11" s="74">
        <f t="shared" si="3"/>
        <v>100.01405016440836</v>
      </c>
    </row>
    <row r="12" spans="1:8" ht="13.5" customHeight="1" x14ac:dyDescent="0.2">
      <c r="A12" s="57">
        <v>634</v>
      </c>
      <c r="B12" s="57" t="s">
        <v>112</v>
      </c>
      <c r="C12" s="31">
        <f>C13</f>
        <v>35574.445550467841</v>
      </c>
      <c r="D12" s="31"/>
      <c r="E12" s="31"/>
      <c r="F12" s="31">
        <f t="shared" si="4"/>
        <v>125923.69</v>
      </c>
      <c r="G12" s="74">
        <f t="shared" si="2"/>
        <v>353.97231931937722</v>
      </c>
      <c r="H12" s="74"/>
    </row>
    <row r="13" spans="1:8" ht="13.5" customHeight="1" x14ac:dyDescent="0.2">
      <c r="A13" s="58">
        <v>6342</v>
      </c>
      <c r="B13" s="58" t="s">
        <v>113</v>
      </c>
      <c r="C13" s="30">
        <f>268035.66/7.5345</f>
        <v>35574.445550467841</v>
      </c>
      <c r="D13" s="30"/>
      <c r="E13" s="30"/>
      <c r="F13" s="84">
        <v>125923.69</v>
      </c>
      <c r="G13" s="75">
        <f t="shared" si="2"/>
        <v>353.97231931937722</v>
      </c>
      <c r="H13" s="75"/>
    </row>
    <row r="14" spans="1:8" ht="13.5" customHeight="1" x14ac:dyDescent="0.2">
      <c r="A14" s="56">
        <v>64</v>
      </c>
      <c r="B14" s="56" t="s">
        <v>114</v>
      </c>
      <c r="C14" s="31">
        <f>C15</f>
        <v>414.68976043533081</v>
      </c>
      <c r="D14" s="31">
        <v>5000</v>
      </c>
      <c r="E14" s="31">
        <v>5000</v>
      </c>
      <c r="F14" s="31">
        <f t="shared" ref="F14" si="5">F15</f>
        <v>6473.7199999999993</v>
      </c>
      <c r="G14" s="74">
        <f t="shared" si="2"/>
        <v>1561.0995538457598</v>
      </c>
      <c r="H14" s="74">
        <f t="shared" si="3"/>
        <v>129.4744</v>
      </c>
    </row>
    <row r="15" spans="1:8" ht="13.5" customHeight="1" x14ac:dyDescent="0.2">
      <c r="A15" s="57">
        <v>641</v>
      </c>
      <c r="B15" s="57" t="s">
        <v>115</v>
      </c>
      <c r="C15" s="31">
        <f>SUM(C16:C18)</f>
        <v>414.68976043533081</v>
      </c>
      <c r="D15" s="31"/>
      <c r="E15" s="31"/>
      <c r="F15" s="31">
        <f t="shared" ref="F15" si="6">SUM(F16:F18)</f>
        <v>6473.7199999999993</v>
      </c>
      <c r="G15" s="74">
        <f t="shared" si="2"/>
        <v>1561.0995538457598</v>
      </c>
      <c r="H15" s="74"/>
    </row>
    <row r="16" spans="1:8" ht="13.5" customHeight="1" x14ac:dyDescent="0.2">
      <c r="A16" s="58">
        <v>6413</v>
      </c>
      <c r="B16" s="58" t="s">
        <v>116</v>
      </c>
      <c r="C16" s="30">
        <f>2440.17/7.5345</f>
        <v>323.86621540911807</v>
      </c>
      <c r="D16" s="30"/>
      <c r="E16" s="30"/>
      <c r="F16" s="30">
        <v>3624.97</v>
      </c>
      <c r="G16" s="75">
        <f t="shared" si="2"/>
        <v>1119.280069216489</v>
      </c>
      <c r="H16" s="75"/>
    </row>
    <row r="17" spans="1:8" ht="13.5" customHeight="1" x14ac:dyDescent="0.2">
      <c r="A17" s="58">
        <v>6414</v>
      </c>
      <c r="B17" s="58" t="s">
        <v>117</v>
      </c>
      <c r="C17" s="30">
        <v>0</v>
      </c>
      <c r="D17" s="30"/>
      <c r="E17" s="30"/>
      <c r="F17" s="30">
        <v>2848.75</v>
      </c>
      <c r="G17" s="75"/>
      <c r="H17" s="75"/>
    </row>
    <row r="18" spans="1:8" ht="25.5" x14ac:dyDescent="0.2">
      <c r="A18" s="60">
        <v>6415</v>
      </c>
      <c r="B18" s="58" t="s">
        <v>118</v>
      </c>
      <c r="C18" s="30">
        <f>684.31/7.5345</f>
        <v>90.823545026212742</v>
      </c>
      <c r="D18" s="30"/>
      <c r="E18" s="30"/>
      <c r="F18" s="30"/>
      <c r="G18" s="75">
        <f t="shared" si="2"/>
        <v>0</v>
      </c>
      <c r="H18" s="75"/>
    </row>
    <row r="19" spans="1:8" ht="25.5" x14ac:dyDescent="0.2">
      <c r="A19" s="45">
        <v>65</v>
      </c>
      <c r="B19" s="56" t="s">
        <v>119</v>
      </c>
      <c r="C19" s="31">
        <f>C20</f>
        <v>26971171.180569377</v>
      </c>
      <c r="D19" s="31">
        <v>31465600</v>
      </c>
      <c r="E19" s="31">
        <v>31465600</v>
      </c>
      <c r="F19" s="31">
        <f t="shared" ref="F19:F20" si="7">F20</f>
        <v>32359937.529999997</v>
      </c>
      <c r="G19" s="74">
        <f t="shared" si="2"/>
        <v>119.97972692158361</v>
      </c>
      <c r="H19" s="74">
        <f t="shared" si="3"/>
        <v>102.84227070197294</v>
      </c>
    </row>
    <row r="20" spans="1:8" ht="13.5" customHeight="1" x14ac:dyDescent="0.2">
      <c r="A20" s="57">
        <v>652</v>
      </c>
      <c r="B20" s="57" t="s">
        <v>120</v>
      </c>
      <c r="C20" s="31">
        <f>C21</f>
        <v>26971171.180569377</v>
      </c>
      <c r="D20" s="31"/>
      <c r="E20" s="31"/>
      <c r="F20" s="31">
        <f t="shared" si="7"/>
        <v>32359937.529999997</v>
      </c>
      <c r="G20" s="74">
        <f t="shared" si="2"/>
        <v>119.97972692158361</v>
      </c>
      <c r="H20" s="74"/>
    </row>
    <row r="21" spans="1:8" ht="13.5" customHeight="1" x14ac:dyDescent="0.2">
      <c r="A21" s="58">
        <v>6526</v>
      </c>
      <c r="B21" s="58" t="s">
        <v>121</v>
      </c>
      <c r="C21" s="30">
        <f>203214289.26/7.5345</f>
        <v>26971171.180569377</v>
      </c>
      <c r="D21" s="30"/>
      <c r="E21" s="30"/>
      <c r="F21" s="106">
        <v>32359937.529999997</v>
      </c>
      <c r="G21" s="75">
        <f t="shared" si="2"/>
        <v>119.97972692158361</v>
      </c>
      <c r="H21" s="75"/>
    </row>
    <row r="22" spans="1:8" ht="25.5" customHeight="1" x14ac:dyDescent="0.2">
      <c r="A22" s="45">
        <v>66</v>
      </c>
      <c r="B22" s="56" t="s">
        <v>122</v>
      </c>
      <c r="C22" s="31">
        <f>C23+C26</f>
        <v>18334045.031521663</v>
      </c>
      <c r="D22" s="31">
        <v>24336097</v>
      </c>
      <c r="E22" s="31">
        <v>24336097</v>
      </c>
      <c r="F22" s="31">
        <f t="shared" ref="F22" si="8">F23+F26</f>
        <v>25167306.32</v>
      </c>
      <c r="G22" s="74">
        <f t="shared" si="2"/>
        <v>137.27088744862323</v>
      </c>
      <c r="H22" s="74">
        <f t="shared" si="3"/>
        <v>103.4155407911137</v>
      </c>
    </row>
    <row r="23" spans="1:8" ht="13.5" customHeight="1" x14ac:dyDescent="0.2">
      <c r="A23" s="57">
        <v>661</v>
      </c>
      <c r="B23" s="57" t="s">
        <v>123</v>
      </c>
      <c r="C23" s="31">
        <f>SUM(C24:C25)</f>
        <v>18327346.28177052</v>
      </c>
      <c r="D23" s="31"/>
      <c r="E23" s="31"/>
      <c r="F23" s="31">
        <f t="shared" ref="F23" si="9">SUM(F24:F25)</f>
        <v>25147210.07</v>
      </c>
      <c r="G23" s="74">
        <f t="shared" si="2"/>
        <v>137.21140902440919</v>
      </c>
      <c r="H23" s="74"/>
    </row>
    <row r="24" spans="1:8" ht="13.5" customHeight="1" x14ac:dyDescent="0.2">
      <c r="A24" s="58">
        <v>6614</v>
      </c>
      <c r="B24" s="58" t="s">
        <v>124</v>
      </c>
      <c r="C24" s="30">
        <f>26896100.01/7.5345</f>
        <v>3569725.9287278517</v>
      </c>
      <c r="D24" s="30"/>
      <c r="E24" s="30"/>
      <c r="F24" s="30">
        <v>4636368.83</v>
      </c>
      <c r="G24" s="75">
        <f t="shared" si="2"/>
        <v>129.880246342953</v>
      </c>
      <c r="H24" s="75"/>
    </row>
    <row r="25" spans="1:8" ht="13.5" customHeight="1" x14ac:dyDescent="0.2">
      <c r="A25" s="58">
        <v>6615</v>
      </c>
      <c r="B25" s="58" t="s">
        <v>125</v>
      </c>
      <c r="C25" s="30">
        <f>111191290.55/7.5345</f>
        <v>14757620.35304267</v>
      </c>
      <c r="D25" s="30"/>
      <c r="E25" s="30"/>
      <c r="F25" s="106">
        <v>20510841.239999998</v>
      </c>
      <c r="G25" s="75">
        <f t="shared" si="2"/>
        <v>138.98474651959148</v>
      </c>
      <c r="H25" s="75"/>
    </row>
    <row r="26" spans="1:8" ht="25.5" customHeight="1" x14ac:dyDescent="0.2">
      <c r="A26" s="46">
        <v>663</v>
      </c>
      <c r="B26" s="57" t="s">
        <v>126</v>
      </c>
      <c r="C26" s="31">
        <f>C27</f>
        <v>6698.7497511447345</v>
      </c>
      <c r="D26" s="31"/>
      <c r="E26" s="31"/>
      <c r="F26" s="31">
        <f t="shared" ref="F26" si="10">F27</f>
        <v>20096.25</v>
      </c>
      <c r="G26" s="74">
        <f t="shared" si="2"/>
        <v>300.00001114485275</v>
      </c>
      <c r="H26" s="74"/>
    </row>
    <row r="27" spans="1:8" ht="13.5" customHeight="1" x14ac:dyDescent="0.2">
      <c r="A27" s="58">
        <v>6631</v>
      </c>
      <c r="B27" s="58" t="s">
        <v>127</v>
      </c>
      <c r="C27" s="30">
        <f>50471.73/7.5345</f>
        <v>6698.7497511447345</v>
      </c>
      <c r="D27" s="30"/>
      <c r="E27" s="30"/>
      <c r="F27" s="30">
        <v>20096.25</v>
      </c>
      <c r="G27" s="75">
        <f t="shared" si="2"/>
        <v>300.00001114485275</v>
      </c>
      <c r="H27" s="75"/>
    </row>
    <row r="28" spans="1:8" ht="13.5" customHeight="1" x14ac:dyDescent="0.2">
      <c r="A28" s="56">
        <v>68</v>
      </c>
      <c r="B28" s="56" t="s">
        <v>128</v>
      </c>
      <c r="C28" s="31">
        <f>C29+C31</f>
        <v>1267346.6414493329</v>
      </c>
      <c r="D28" s="31">
        <v>102000</v>
      </c>
      <c r="E28" s="31">
        <v>102000</v>
      </c>
      <c r="F28" s="31">
        <f t="shared" ref="F28" si="11">F29+F31</f>
        <v>144620.45000000001</v>
      </c>
      <c r="G28" s="74">
        <f t="shared" si="2"/>
        <v>11.411278119979281</v>
      </c>
      <c r="H28" s="74">
        <f t="shared" si="3"/>
        <v>141.78475490196078</v>
      </c>
    </row>
    <row r="29" spans="1:8" ht="13.5" customHeight="1" x14ac:dyDescent="0.2">
      <c r="A29" s="82">
        <v>681</v>
      </c>
      <c r="B29" s="57" t="s">
        <v>155</v>
      </c>
      <c r="C29" s="31">
        <f>C30</f>
        <v>0</v>
      </c>
      <c r="D29" s="31"/>
      <c r="E29" s="31"/>
      <c r="F29" s="31">
        <f t="shared" ref="F29" si="12">F30</f>
        <v>39992.400000000001</v>
      </c>
      <c r="G29" s="74"/>
      <c r="H29" s="74"/>
    </row>
    <row r="30" spans="1:8" ht="13.5" customHeight="1" x14ac:dyDescent="0.2">
      <c r="A30" s="83">
        <v>6819</v>
      </c>
      <c r="B30" s="58" t="s">
        <v>86</v>
      </c>
      <c r="C30" s="30">
        <v>0</v>
      </c>
      <c r="D30" s="30"/>
      <c r="E30" s="30"/>
      <c r="F30" s="30">
        <v>39992.400000000001</v>
      </c>
      <c r="G30" s="75"/>
      <c r="H30" s="75"/>
    </row>
    <row r="31" spans="1:8" ht="13.5" customHeight="1" x14ac:dyDescent="0.2">
      <c r="A31" s="57">
        <v>683</v>
      </c>
      <c r="B31" s="57" t="s">
        <v>129</v>
      </c>
      <c r="C31" s="31">
        <f>C32</f>
        <v>1267346.6414493329</v>
      </c>
      <c r="D31" s="31"/>
      <c r="E31" s="31"/>
      <c r="F31" s="31">
        <f t="shared" ref="F31" si="13">F32</f>
        <v>104628.05</v>
      </c>
      <c r="G31" s="74">
        <f t="shared" si="2"/>
        <v>8.25567737965895</v>
      </c>
      <c r="H31" s="74"/>
    </row>
    <row r="32" spans="1:8" ht="13.5" customHeight="1" x14ac:dyDescent="0.2">
      <c r="A32" s="58">
        <v>6831</v>
      </c>
      <c r="B32" s="58" t="s">
        <v>129</v>
      </c>
      <c r="C32" s="30">
        <f>9548823.27/7.5345</f>
        <v>1267346.6414493329</v>
      </c>
      <c r="D32" s="30"/>
      <c r="E32" s="30"/>
      <c r="F32" s="30">
        <v>104628.05</v>
      </c>
      <c r="G32" s="75">
        <f t="shared" si="2"/>
        <v>8.25567737965895</v>
      </c>
      <c r="H32" s="75"/>
    </row>
    <row r="33" spans="1:8" ht="13.5" customHeight="1" x14ac:dyDescent="0.2">
      <c r="A33" s="79">
        <v>7</v>
      </c>
      <c r="B33" s="29" t="s">
        <v>130</v>
      </c>
      <c r="C33" s="36">
        <f>C34</f>
        <v>12622.469971464594</v>
      </c>
      <c r="D33" s="36">
        <f>D34</f>
        <v>0</v>
      </c>
      <c r="E33" s="36">
        <f>E34</f>
        <v>0</v>
      </c>
      <c r="F33" s="36">
        <f>F34</f>
        <v>0</v>
      </c>
      <c r="G33" s="73">
        <f t="shared" si="2"/>
        <v>0</v>
      </c>
      <c r="H33" s="73"/>
    </row>
    <row r="34" spans="1:8" ht="13.5" customHeight="1" x14ac:dyDescent="0.2">
      <c r="A34" s="56">
        <v>72</v>
      </c>
      <c r="B34" s="56" t="s">
        <v>131</v>
      </c>
      <c r="C34" s="31">
        <f>C35+C37</f>
        <v>12622.469971464594</v>
      </c>
      <c r="D34" s="31"/>
      <c r="E34" s="31"/>
      <c r="F34" s="31">
        <f>F35+F37</f>
        <v>0</v>
      </c>
      <c r="G34" s="74">
        <f t="shared" si="2"/>
        <v>0</v>
      </c>
      <c r="H34" s="74"/>
    </row>
    <row r="35" spans="1:8" ht="13.5" customHeight="1" x14ac:dyDescent="0.2">
      <c r="A35" s="57">
        <v>722</v>
      </c>
      <c r="B35" s="57" t="s">
        <v>132</v>
      </c>
      <c r="C35" s="31">
        <f>C36</f>
        <v>398.16842524387812</v>
      </c>
      <c r="D35" s="31"/>
      <c r="E35" s="31"/>
      <c r="F35" s="31">
        <f>F36</f>
        <v>0</v>
      </c>
      <c r="G35" s="74">
        <f t="shared" ref="G35:G36" si="14">F35/C35*100</f>
        <v>0</v>
      </c>
      <c r="H35" s="74"/>
    </row>
    <row r="36" spans="1:8" ht="13.5" customHeight="1" x14ac:dyDescent="0.2">
      <c r="A36" s="58">
        <v>7227</v>
      </c>
      <c r="B36" s="58" t="s">
        <v>67</v>
      </c>
      <c r="C36" s="30">
        <f>3000/7.5345</f>
        <v>398.16842524387812</v>
      </c>
      <c r="D36" s="30"/>
      <c r="E36" s="30"/>
      <c r="F36" s="30"/>
      <c r="G36" s="75">
        <f t="shared" si="14"/>
        <v>0</v>
      </c>
      <c r="H36" s="75"/>
    </row>
    <row r="37" spans="1:8" ht="13.5" customHeight="1" x14ac:dyDescent="0.2">
      <c r="A37" s="57">
        <v>723</v>
      </c>
      <c r="B37" s="57" t="s">
        <v>133</v>
      </c>
      <c r="C37" s="31">
        <f>C38</f>
        <v>12224.301546220717</v>
      </c>
      <c r="D37" s="31"/>
      <c r="E37" s="31"/>
      <c r="F37" s="31">
        <f>F38</f>
        <v>0</v>
      </c>
      <c r="G37" s="74">
        <f t="shared" si="2"/>
        <v>0</v>
      </c>
      <c r="H37" s="74"/>
    </row>
    <row r="38" spans="1:8" ht="13.5" customHeight="1" x14ac:dyDescent="0.2">
      <c r="A38" s="58">
        <v>7231</v>
      </c>
      <c r="B38" s="58" t="s">
        <v>92</v>
      </c>
      <c r="C38" s="30">
        <f>92104/7.5345</f>
        <v>12224.301546220717</v>
      </c>
      <c r="D38" s="30"/>
      <c r="E38" s="30"/>
      <c r="F38" s="30"/>
      <c r="G38" s="75">
        <f t="shared" si="2"/>
        <v>0</v>
      </c>
      <c r="H38" s="75"/>
    </row>
    <row r="39" spans="1:8" ht="13.5" customHeight="1" x14ac:dyDescent="0.2">
      <c r="A39" s="55"/>
      <c r="B39" s="55"/>
      <c r="C39" s="55"/>
      <c r="D39" s="55"/>
      <c r="E39" s="55"/>
      <c r="F39" s="55"/>
      <c r="G39" s="55"/>
      <c r="H39" s="55"/>
    </row>
    <row r="40" spans="1:8" ht="39.75" customHeight="1" x14ac:dyDescent="0.2">
      <c r="A40" s="114" t="s">
        <v>0</v>
      </c>
      <c r="B40" s="115"/>
      <c r="C40" s="15" t="s">
        <v>18</v>
      </c>
      <c r="D40" s="15" t="s">
        <v>19</v>
      </c>
      <c r="E40" s="15" t="s">
        <v>10</v>
      </c>
      <c r="F40" s="15" t="s">
        <v>20</v>
      </c>
      <c r="G40" s="17" t="s">
        <v>1</v>
      </c>
      <c r="H40" s="17" t="s">
        <v>1</v>
      </c>
    </row>
    <row r="41" spans="1:8" ht="11.25" customHeight="1" x14ac:dyDescent="0.2">
      <c r="A41" s="116">
        <v>1</v>
      </c>
      <c r="B41" s="117"/>
      <c r="C41" s="16">
        <v>2</v>
      </c>
      <c r="D41" s="16">
        <v>3</v>
      </c>
      <c r="E41" s="16">
        <v>4</v>
      </c>
      <c r="F41" s="16">
        <v>5</v>
      </c>
      <c r="G41" s="16" t="s">
        <v>15</v>
      </c>
      <c r="H41" s="16" t="s">
        <v>16</v>
      </c>
    </row>
    <row r="42" spans="1:8" ht="13.5" customHeight="1" x14ac:dyDescent="0.2">
      <c r="A42" s="80" t="s">
        <v>166</v>
      </c>
      <c r="B42" s="20"/>
      <c r="C42" s="21">
        <f>C43+C115</f>
        <v>31699195.598911673</v>
      </c>
      <c r="D42" s="21">
        <f t="shared" ref="D42:F42" si="15">D43+D115</f>
        <v>51685790</v>
      </c>
      <c r="E42" s="21">
        <f t="shared" si="15"/>
        <v>51685790</v>
      </c>
      <c r="F42" s="21">
        <f t="shared" si="15"/>
        <v>41250353.469999991</v>
      </c>
      <c r="G42" s="22">
        <f>F42/C42*100</f>
        <v>130.13060013237759</v>
      </c>
      <c r="H42" s="22">
        <f>F42/E42*100</f>
        <v>79.809853868926055</v>
      </c>
    </row>
    <row r="43" spans="1:8" ht="13.5" customHeight="1" x14ac:dyDescent="0.2">
      <c r="A43" s="81">
        <v>3</v>
      </c>
      <c r="B43" s="29" t="s">
        <v>134</v>
      </c>
      <c r="C43" s="18">
        <f>C46+C47+C49+C51+C52+C55+C56+C57+C58+C60+C61+C62+C63+C64+C65+C67+C68+C69+C70+C71+C72+C73+C74+C75+C77+C79+C80+C81+C82+C83+C84+C85+C88+C89+C90+C91+C94+C97+C99+C100+C102+C105+C108+C110+C112+C113+C114</f>
        <v>29301005.896874379</v>
      </c>
      <c r="D43" s="18">
        <f>D44+D53+D86+D92+D95+D103+D106</f>
        <v>45040465</v>
      </c>
      <c r="E43" s="18">
        <f>E44+E53+E86+E92+E95+E103+E106</f>
        <v>45040465</v>
      </c>
      <c r="F43" s="18">
        <f>F46+F47+F49+F51+F52+F55+F56+F57+F58+F60+F61+F62+F63+F64+F65+F67+F68+F69+F70+F71+F72+F73+F74+F75+F77+F79+F80+F81+F82+F83+F84+F85+F88+F89+F90+F91+F94+F97+F99+F100+F102+F105+F108+F110+F112+F113+F114</f>
        <v>38862819.43999999</v>
      </c>
      <c r="G43" s="19">
        <f t="shared" ref="G43" si="16">F43/C43*100</f>
        <v>132.63305559126078</v>
      </c>
      <c r="H43" s="19">
        <f t="shared" ref="H43" si="17">F43/E43*100</f>
        <v>86.28423227868538</v>
      </c>
    </row>
    <row r="44" spans="1:8" ht="13.5" customHeight="1" x14ac:dyDescent="0.2">
      <c r="A44" s="45">
        <v>31</v>
      </c>
      <c r="B44" s="45" t="s">
        <v>23</v>
      </c>
      <c r="C44" s="31">
        <f>C45+C48+C50</f>
        <v>14862498.832039284</v>
      </c>
      <c r="D44" s="31">
        <v>21462630</v>
      </c>
      <c r="E44" s="31">
        <v>21462630</v>
      </c>
      <c r="F44" s="31">
        <f t="shared" ref="F44" si="18">F45+F48+F50</f>
        <v>20213194.169999998</v>
      </c>
      <c r="G44" s="31">
        <f>F44/C44*100</f>
        <v>136.00131712997111</v>
      </c>
      <c r="H44" s="31">
        <f>F44/E44*100</f>
        <v>94.178552069340981</v>
      </c>
    </row>
    <row r="45" spans="1:8" ht="13.5" customHeight="1" x14ac:dyDescent="0.2">
      <c r="A45" s="46">
        <v>311</v>
      </c>
      <c r="B45" s="46" t="s">
        <v>135</v>
      </c>
      <c r="C45" s="31">
        <f>SUM(C46:C47)</f>
        <v>12394777.710531553</v>
      </c>
      <c r="D45" s="31"/>
      <c r="E45" s="31"/>
      <c r="F45" s="31">
        <f>SUM(F46:F47)</f>
        <v>15940718.15</v>
      </c>
      <c r="G45" s="31">
        <f t="shared" ref="G45:G52" si="19">F45/C45*100</f>
        <v>128.60834233804405</v>
      </c>
      <c r="H45" s="31"/>
    </row>
    <row r="46" spans="1:8" s="1" customFormat="1" ht="13.5" customHeight="1" x14ac:dyDescent="0.2">
      <c r="A46" s="60">
        <v>3111</v>
      </c>
      <c r="B46" s="60" t="s">
        <v>24</v>
      </c>
      <c r="C46" s="30">
        <f>91744212.66/7.5345</f>
        <v>12176549.560023889</v>
      </c>
      <c r="D46" s="30"/>
      <c r="E46" s="30"/>
      <c r="F46" s="30">
        <v>15295432.99</v>
      </c>
      <c r="G46" s="30">
        <f t="shared" si="19"/>
        <v>125.61385238569991</v>
      </c>
      <c r="H46" s="30"/>
    </row>
    <row r="47" spans="1:8" s="1" customFormat="1" ht="13.5" customHeight="1" x14ac:dyDescent="0.2">
      <c r="A47" s="60">
        <v>3112</v>
      </c>
      <c r="B47" s="60" t="s">
        <v>25</v>
      </c>
      <c r="C47" s="30">
        <f>1644240/7.5345</f>
        <v>218228.15050766474</v>
      </c>
      <c r="D47" s="30"/>
      <c r="E47" s="30"/>
      <c r="F47" s="30">
        <v>645285.16</v>
      </c>
      <c r="G47" s="30">
        <f t="shared" si="19"/>
        <v>295.69290602466793</v>
      </c>
      <c r="H47" s="30"/>
    </row>
    <row r="48" spans="1:8" s="34" customFormat="1" ht="13.5" customHeight="1" x14ac:dyDescent="0.2">
      <c r="A48" s="46">
        <v>312</v>
      </c>
      <c r="B48" s="46" t="s">
        <v>26</v>
      </c>
      <c r="C48" s="31">
        <f>C49</f>
        <v>469596.88366845844</v>
      </c>
      <c r="D48" s="31"/>
      <c r="E48" s="31"/>
      <c r="F48" s="31">
        <f t="shared" ref="F48" si="20">F49</f>
        <v>1758744.3</v>
      </c>
      <c r="G48" s="31">
        <f t="shared" si="19"/>
        <v>374.52214040706809</v>
      </c>
      <c r="H48" s="31"/>
    </row>
    <row r="49" spans="1:8" s="1" customFormat="1" ht="13.5" customHeight="1" x14ac:dyDescent="0.2">
      <c r="A49" s="60">
        <v>3121</v>
      </c>
      <c r="B49" s="60" t="s">
        <v>26</v>
      </c>
      <c r="C49" s="30">
        <f>3538177.72/7.5345</f>
        <v>469596.88366845844</v>
      </c>
      <c r="D49" s="30"/>
      <c r="E49" s="30"/>
      <c r="F49" s="30">
        <v>1758744.3</v>
      </c>
      <c r="G49" s="30">
        <f t="shared" si="19"/>
        <v>374.52214040706809</v>
      </c>
      <c r="H49" s="30"/>
    </row>
    <row r="50" spans="1:8" s="34" customFormat="1" ht="13.5" customHeight="1" x14ac:dyDescent="0.2">
      <c r="A50" s="46">
        <v>313</v>
      </c>
      <c r="B50" s="46" t="s">
        <v>136</v>
      </c>
      <c r="C50" s="31">
        <f>SUM(C51:C52)</f>
        <v>1998124.2378392725</v>
      </c>
      <c r="D50" s="31"/>
      <c r="E50" s="31"/>
      <c r="F50" s="31">
        <f t="shared" ref="F50" si="21">SUM(F51:F52)</f>
        <v>2513731.7200000002</v>
      </c>
      <c r="G50" s="31">
        <f t="shared" si="19"/>
        <v>125.80457573140168</v>
      </c>
      <c r="H50" s="31"/>
    </row>
    <row r="51" spans="1:8" s="1" customFormat="1" ht="13.5" customHeight="1" x14ac:dyDescent="0.2">
      <c r="A51" s="60">
        <v>3131</v>
      </c>
      <c r="B51" s="60" t="s">
        <v>72</v>
      </c>
      <c r="C51" s="30">
        <f>89993.28/7.5345</f>
        <v>11944.160860043798</v>
      </c>
      <c r="D51" s="30"/>
      <c r="E51" s="30"/>
      <c r="F51" s="30">
        <v>15626.33</v>
      </c>
      <c r="G51" s="30">
        <f t="shared" si="19"/>
        <v>130.8281944885218</v>
      </c>
      <c r="H51" s="30"/>
    </row>
    <row r="52" spans="1:8" s="1" customFormat="1" ht="13.5" customHeight="1" x14ac:dyDescent="0.2">
      <c r="A52" s="60">
        <v>3132</v>
      </c>
      <c r="B52" s="60" t="s">
        <v>27</v>
      </c>
      <c r="C52" s="30">
        <f>14964873.79/7.5345</f>
        <v>1986180.0769792288</v>
      </c>
      <c r="D52" s="30"/>
      <c r="E52" s="30"/>
      <c r="F52" s="30">
        <v>2498105.39</v>
      </c>
      <c r="G52" s="30">
        <f t="shared" si="19"/>
        <v>125.77436552476932</v>
      </c>
      <c r="H52" s="30"/>
    </row>
    <row r="53" spans="1:8" s="1" customFormat="1" ht="13.5" customHeight="1" x14ac:dyDescent="0.2">
      <c r="A53" s="45">
        <v>32</v>
      </c>
      <c r="B53" s="45" t="s">
        <v>28</v>
      </c>
      <c r="C53" s="31">
        <f>C54+C59+C66+C76+C78</f>
        <v>12763245.371292055</v>
      </c>
      <c r="D53" s="31">
        <v>20588024</v>
      </c>
      <c r="E53" s="31">
        <v>20588024</v>
      </c>
      <c r="F53" s="31">
        <f t="shared" ref="F53" si="22">F54+F59+F66+F76+F78</f>
        <v>15660229.870000001</v>
      </c>
      <c r="G53" s="31">
        <f>F53/C53*100</f>
        <v>122.69786730907828</v>
      </c>
      <c r="H53" s="31">
        <f>F53/E53*100</f>
        <v>76.064754295992671</v>
      </c>
    </row>
    <row r="54" spans="1:8" s="1" customFormat="1" ht="13.5" customHeight="1" x14ac:dyDescent="0.2">
      <c r="A54" s="46">
        <v>321</v>
      </c>
      <c r="B54" s="46" t="s">
        <v>137</v>
      </c>
      <c r="C54" s="31">
        <f>SUM(C55:C58)</f>
        <v>416017.69195036154</v>
      </c>
      <c r="D54" s="31"/>
      <c r="E54" s="31"/>
      <c r="F54" s="31">
        <f>SUM(F55:F58)</f>
        <v>551368.78</v>
      </c>
      <c r="G54" s="31">
        <f t="shared" ref="G54:G119" si="23">F54/C54*100</f>
        <v>132.5349355733141</v>
      </c>
      <c r="H54" s="31"/>
    </row>
    <row r="55" spans="1:8" s="1" customFormat="1" ht="13.5" customHeight="1" x14ac:dyDescent="0.2">
      <c r="A55" s="60">
        <v>3211</v>
      </c>
      <c r="B55" s="60" t="s">
        <v>29</v>
      </c>
      <c r="C55" s="30">
        <f>440210.33/7.5345</f>
        <v>58425.95129072931</v>
      </c>
      <c r="D55" s="30"/>
      <c r="E55" s="30"/>
      <c r="F55" s="30">
        <v>118822.8</v>
      </c>
      <c r="G55" s="30">
        <f t="shared" si="23"/>
        <v>203.3733253374586</v>
      </c>
      <c r="H55" s="30"/>
    </row>
    <row r="56" spans="1:8" s="1" customFormat="1" ht="13.5" customHeight="1" x14ac:dyDescent="0.2">
      <c r="A56" s="61">
        <v>3212</v>
      </c>
      <c r="B56" s="61" t="s">
        <v>30</v>
      </c>
      <c r="C56" s="30">
        <f>2139824.26/7.5345</f>
        <v>284003.4853009489</v>
      </c>
      <c r="D56" s="30"/>
      <c r="E56" s="30"/>
      <c r="F56" s="30">
        <v>310217.11</v>
      </c>
      <c r="G56" s="30">
        <f t="shared" si="23"/>
        <v>109.23003626919345</v>
      </c>
      <c r="H56" s="30"/>
    </row>
    <row r="57" spans="1:8" s="1" customFormat="1" ht="13.5" customHeight="1" x14ac:dyDescent="0.2">
      <c r="A57" s="60">
        <v>3213</v>
      </c>
      <c r="B57" s="60" t="s">
        <v>31</v>
      </c>
      <c r="C57" s="30">
        <f>545990.71/7.5345</f>
        <v>72465.420399495648</v>
      </c>
      <c r="D57" s="30"/>
      <c r="E57" s="30"/>
      <c r="F57" s="30">
        <v>122328.87</v>
      </c>
      <c r="G57" s="30">
        <f t="shared" si="23"/>
        <v>168.80999147677807</v>
      </c>
      <c r="H57" s="30"/>
    </row>
    <row r="58" spans="1:8" s="1" customFormat="1" ht="13.5" customHeight="1" x14ac:dyDescent="0.2">
      <c r="A58" s="60">
        <v>3214</v>
      </c>
      <c r="B58" s="60" t="s">
        <v>32</v>
      </c>
      <c r="C58" s="30">
        <f>8460/7.5345</f>
        <v>1122.8349591877363</v>
      </c>
      <c r="D58" s="30"/>
      <c r="E58" s="30"/>
      <c r="F58" s="32"/>
      <c r="G58" s="30">
        <f t="shared" si="23"/>
        <v>0</v>
      </c>
      <c r="H58" s="30"/>
    </row>
    <row r="59" spans="1:8" s="34" customFormat="1" ht="13.5" customHeight="1" x14ac:dyDescent="0.2">
      <c r="A59" s="46">
        <v>322</v>
      </c>
      <c r="B59" s="46" t="s">
        <v>138</v>
      </c>
      <c r="C59" s="31">
        <f>SUM(C60:C65)</f>
        <v>7033761.2024686439</v>
      </c>
      <c r="D59" s="31"/>
      <c r="E59" s="31"/>
      <c r="F59" s="31">
        <f t="shared" ref="F59" si="24">SUM(F60:F65)</f>
        <v>8226585.1500000013</v>
      </c>
      <c r="G59" s="31">
        <f t="shared" si="23"/>
        <v>116.95855052788416</v>
      </c>
      <c r="H59" s="31"/>
    </row>
    <row r="60" spans="1:8" s="1" customFormat="1" ht="13.5" customHeight="1" x14ac:dyDescent="0.2">
      <c r="A60" s="60">
        <v>3221</v>
      </c>
      <c r="B60" s="60" t="s">
        <v>33</v>
      </c>
      <c r="C60" s="30">
        <f>4337599.72/7.5345</f>
        <v>575698.41661689559</v>
      </c>
      <c r="D60" s="30"/>
      <c r="E60" s="30"/>
      <c r="F60" s="30">
        <v>680881.23</v>
      </c>
      <c r="G60" s="30">
        <f t="shared" si="23"/>
        <v>118.27047119587606</v>
      </c>
      <c r="H60" s="30"/>
    </row>
    <row r="61" spans="1:8" s="1" customFormat="1" ht="13.5" customHeight="1" x14ac:dyDescent="0.2">
      <c r="A61" s="60">
        <v>3222</v>
      </c>
      <c r="B61" s="60" t="s">
        <v>34</v>
      </c>
      <c r="C61" s="30">
        <f>31401272.02/7.5345</f>
        <v>4167665.0102860173</v>
      </c>
      <c r="D61" s="30"/>
      <c r="E61" s="30"/>
      <c r="F61" s="30">
        <v>5513258.75</v>
      </c>
      <c r="G61" s="30">
        <f t="shared" si="23"/>
        <v>132.28651382471926</v>
      </c>
      <c r="H61" s="30"/>
    </row>
    <row r="62" spans="1:8" s="1" customFormat="1" ht="13.5" customHeight="1" x14ac:dyDescent="0.2">
      <c r="A62" s="60">
        <v>3223</v>
      </c>
      <c r="B62" s="60" t="s">
        <v>35</v>
      </c>
      <c r="C62" s="30">
        <f>15307789.15/7.5345</f>
        <v>2031692.7666069414</v>
      </c>
      <c r="D62" s="30"/>
      <c r="E62" s="30"/>
      <c r="F62" s="30">
        <v>1618740.86</v>
      </c>
      <c r="G62" s="30">
        <f t="shared" si="23"/>
        <v>79.674490484277413</v>
      </c>
      <c r="H62" s="30"/>
    </row>
    <row r="63" spans="1:8" s="1" customFormat="1" ht="13.5" customHeight="1" x14ac:dyDescent="0.2">
      <c r="A63" s="61">
        <v>3224</v>
      </c>
      <c r="B63" s="61" t="s">
        <v>36</v>
      </c>
      <c r="C63" s="30">
        <f>946880.36/7.5345</f>
        <v>125672.62061185214</v>
      </c>
      <c r="D63" s="30"/>
      <c r="E63" s="30"/>
      <c r="F63" s="30">
        <v>262914.8</v>
      </c>
      <c r="G63" s="30">
        <f t="shared" si="23"/>
        <v>209.20610927023557</v>
      </c>
      <c r="H63" s="30"/>
    </row>
    <row r="64" spans="1:8" s="1" customFormat="1" ht="13.5" customHeight="1" x14ac:dyDescent="0.2">
      <c r="A64" s="60">
        <v>3225</v>
      </c>
      <c r="B64" s="60" t="s">
        <v>37</v>
      </c>
      <c r="C64" s="30">
        <f>808049.02/7.5345</f>
        <v>107246.53527108634</v>
      </c>
      <c r="D64" s="30"/>
      <c r="E64" s="30"/>
      <c r="F64" s="30">
        <v>150342.82</v>
      </c>
      <c r="G64" s="30">
        <f t="shared" si="23"/>
        <v>140.18431422514442</v>
      </c>
      <c r="H64" s="30"/>
    </row>
    <row r="65" spans="1:8" s="1" customFormat="1" ht="13.5" customHeight="1" x14ac:dyDescent="0.2">
      <c r="A65" s="60">
        <v>3227</v>
      </c>
      <c r="B65" s="60" t="s">
        <v>38</v>
      </c>
      <c r="C65" s="30">
        <f>194283.51/7.5345</f>
        <v>25785.853075851086</v>
      </c>
      <c r="D65" s="30"/>
      <c r="E65" s="30"/>
      <c r="F65" s="30">
        <v>446.69</v>
      </c>
      <c r="G65" s="30">
        <f t="shared" si="23"/>
        <v>1.7323064654329128</v>
      </c>
      <c r="H65" s="30"/>
    </row>
    <row r="66" spans="1:8" s="34" customFormat="1" ht="13.5" customHeight="1" x14ac:dyDescent="0.2">
      <c r="A66" s="46">
        <v>323</v>
      </c>
      <c r="B66" s="46" t="s">
        <v>139</v>
      </c>
      <c r="C66" s="31">
        <f>SUM(C67:C75)</f>
        <v>2604160.9755126415</v>
      </c>
      <c r="D66" s="31"/>
      <c r="E66" s="31"/>
      <c r="F66" s="31">
        <f t="shared" ref="F66" si="25">SUM(F67:F75)</f>
        <v>3227862.44</v>
      </c>
      <c r="G66" s="31">
        <f t="shared" si="23"/>
        <v>123.95018857713202</v>
      </c>
      <c r="H66" s="31"/>
    </row>
    <row r="67" spans="1:8" s="1" customFormat="1" ht="13.5" customHeight="1" x14ac:dyDescent="0.2">
      <c r="A67" s="60">
        <v>3231</v>
      </c>
      <c r="B67" s="60" t="s">
        <v>39</v>
      </c>
      <c r="C67" s="30">
        <f>857986.26/7.5345</f>
        <v>113874.34600836154</v>
      </c>
      <c r="D67" s="30"/>
      <c r="E67" s="30"/>
      <c r="F67" s="30">
        <v>116928.34</v>
      </c>
      <c r="G67" s="30">
        <f t="shared" si="23"/>
        <v>102.68189816116634</v>
      </c>
      <c r="H67" s="30"/>
    </row>
    <row r="68" spans="1:8" s="1" customFormat="1" ht="13.5" customHeight="1" x14ac:dyDescent="0.2">
      <c r="A68" s="60">
        <v>3232</v>
      </c>
      <c r="B68" s="60" t="s">
        <v>40</v>
      </c>
      <c r="C68" s="30">
        <f>4107202.59/7.5345</f>
        <v>545119.46247262589</v>
      </c>
      <c r="D68" s="30"/>
      <c r="E68" s="30"/>
      <c r="F68" s="30">
        <v>726327.77</v>
      </c>
      <c r="G68" s="30">
        <f t="shared" si="23"/>
        <v>133.24194419796081</v>
      </c>
      <c r="H68" s="30"/>
    </row>
    <row r="69" spans="1:8" s="1" customFormat="1" ht="13.5" customHeight="1" x14ac:dyDescent="0.2">
      <c r="A69" s="60">
        <v>3233</v>
      </c>
      <c r="B69" s="60" t="s">
        <v>41</v>
      </c>
      <c r="C69" s="30">
        <f>1240860.41/7.5345</f>
        <v>164690.4784657243</v>
      </c>
      <c r="D69" s="30"/>
      <c r="E69" s="30"/>
      <c r="F69" s="30">
        <v>399019.4</v>
      </c>
      <c r="G69" s="30">
        <f t="shared" si="23"/>
        <v>242.28443788451602</v>
      </c>
      <c r="H69" s="30"/>
    </row>
    <row r="70" spans="1:8" s="1" customFormat="1" ht="13.5" customHeight="1" x14ac:dyDescent="0.2">
      <c r="A70" s="60">
        <v>3234</v>
      </c>
      <c r="B70" s="60" t="s">
        <v>42</v>
      </c>
      <c r="C70" s="30">
        <f>3535145.74/7.5345</f>
        <v>469194.47076780145</v>
      </c>
      <c r="D70" s="30"/>
      <c r="E70" s="30"/>
      <c r="F70" s="30">
        <v>394119.51</v>
      </c>
      <c r="G70" s="30">
        <f t="shared" si="23"/>
        <v>83.999180415543492</v>
      </c>
      <c r="H70" s="30"/>
    </row>
    <row r="71" spans="1:8" s="1" customFormat="1" ht="13.5" customHeight="1" x14ac:dyDescent="0.2">
      <c r="A71" s="60">
        <v>3235</v>
      </c>
      <c r="B71" s="60" t="s">
        <v>43</v>
      </c>
      <c r="C71" s="30">
        <f>768963.49/7.5345</f>
        <v>102058.99396111221</v>
      </c>
      <c r="D71" s="30"/>
      <c r="E71" s="30"/>
      <c r="F71" s="30">
        <v>80575.199999999997</v>
      </c>
      <c r="G71" s="30">
        <f t="shared" si="23"/>
        <v>78.949631847930775</v>
      </c>
      <c r="H71" s="30"/>
    </row>
    <row r="72" spans="1:8" s="1" customFormat="1" ht="13.5" customHeight="1" x14ac:dyDescent="0.2">
      <c r="A72" s="60">
        <v>3236</v>
      </c>
      <c r="B72" s="60" t="s">
        <v>44</v>
      </c>
      <c r="C72" s="30">
        <f>256399.06/7.5345</f>
        <v>34030.003318070208</v>
      </c>
      <c r="D72" s="30"/>
      <c r="E72" s="30"/>
      <c r="F72" s="30">
        <v>96371.55</v>
      </c>
      <c r="G72" s="30">
        <f t="shared" si="23"/>
        <v>283.19582898431844</v>
      </c>
      <c r="H72" s="30"/>
    </row>
    <row r="73" spans="1:8" s="1" customFormat="1" ht="13.5" customHeight="1" x14ac:dyDescent="0.2">
      <c r="A73" s="60">
        <v>3237</v>
      </c>
      <c r="B73" s="60" t="s">
        <v>45</v>
      </c>
      <c r="C73" s="30">
        <f>5806946.19/7.5345</f>
        <v>770714.20664941275</v>
      </c>
      <c r="D73" s="30"/>
      <c r="E73" s="30"/>
      <c r="F73" s="30">
        <v>967071.08</v>
      </c>
      <c r="G73" s="30">
        <f t="shared" si="23"/>
        <v>125.47726143575646</v>
      </c>
      <c r="H73" s="30"/>
    </row>
    <row r="74" spans="1:8" s="1" customFormat="1" ht="13.5" customHeight="1" x14ac:dyDescent="0.2">
      <c r="A74" s="60">
        <v>3238</v>
      </c>
      <c r="B74" s="60" t="s">
        <v>46</v>
      </c>
      <c r="C74" s="30">
        <f>816378.71/7.5345</f>
        <v>108352.07512110955</v>
      </c>
      <c r="D74" s="30"/>
      <c r="E74" s="30"/>
      <c r="F74" s="30">
        <v>121969.07</v>
      </c>
      <c r="G74" s="30">
        <f t="shared" si="23"/>
        <v>112.56735956710584</v>
      </c>
      <c r="H74" s="30"/>
    </row>
    <row r="75" spans="1:8" s="1" customFormat="1" ht="13.5" customHeight="1" x14ac:dyDescent="0.2">
      <c r="A75" s="60">
        <v>3239</v>
      </c>
      <c r="B75" s="60" t="s">
        <v>47</v>
      </c>
      <c r="C75" s="30">
        <f>2231168.42/7.5345</f>
        <v>296126.93874842388</v>
      </c>
      <c r="D75" s="30"/>
      <c r="E75" s="30"/>
      <c r="F75" s="30">
        <v>325480.52</v>
      </c>
      <c r="G75" s="30">
        <f t="shared" si="23"/>
        <v>109.91249947594723</v>
      </c>
      <c r="H75" s="30"/>
    </row>
    <row r="76" spans="1:8" s="34" customFormat="1" ht="13.5" customHeight="1" x14ac:dyDescent="0.2">
      <c r="A76" s="46">
        <v>324</v>
      </c>
      <c r="B76" s="46" t="s">
        <v>48</v>
      </c>
      <c r="C76" s="31">
        <f t="shared" ref="C76" si="26">C77</f>
        <v>21537.498175061384</v>
      </c>
      <c r="D76" s="31"/>
      <c r="E76" s="31"/>
      <c r="F76" s="31">
        <f t="shared" ref="F76" si="27">F77</f>
        <v>20481.150000000001</v>
      </c>
      <c r="G76" s="31">
        <f t="shared" si="23"/>
        <v>95.09530695499005</v>
      </c>
      <c r="H76" s="31"/>
    </row>
    <row r="77" spans="1:8" s="1" customFormat="1" ht="13.5" customHeight="1" x14ac:dyDescent="0.2">
      <c r="A77" s="60">
        <v>3241</v>
      </c>
      <c r="B77" s="60" t="s">
        <v>48</v>
      </c>
      <c r="C77" s="30">
        <f>162274.28/7.5345</f>
        <v>21537.498175061384</v>
      </c>
      <c r="D77" s="32"/>
      <c r="E77" s="32"/>
      <c r="F77" s="30">
        <v>20481.150000000001</v>
      </c>
      <c r="G77" s="30">
        <f t="shared" si="23"/>
        <v>95.09530695499005</v>
      </c>
      <c r="H77" s="30"/>
    </row>
    <row r="78" spans="1:8" s="34" customFormat="1" ht="13.5" customHeight="1" x14ac:dyDescent="0.2">
      <c r="A78" s="46">
        <v>329</v>
      </c>
      <c r="B78" s="46" t="s">
        <v>49</v>
      </c>
      <c r="C78" s="31">
        <f>SUM(C79:C85)</f>
        <v>2687768.0031853477</v>
      </c>
      <c r="D78" s="31"/>
      <c r="E78" s="31"/>
      <c r="F78" s="31">
        <f t="shared" ref="F78" si="28">SUM(F79:F85)</f>
        <v>3633932.35</v>
      </c>
      <c r="G78" s="31">
        <f t="shared" si="23"/>
        <v>135.20260475209642</v>
      </c>
      <c r="H78" s="31"/>
    </row>
    <row r="79" spans="1:8" s="1" customFormat="1" ht="25.5" x14ac:dyDescent="0.2">
      <c r="A79" s="60">
        <v>3291</v>
      </c>
      <c r="B79" s="60" t="s">
        <v>73</v>
      </c>
      <c r="C79" s="30">
        <f>79436.57/7.5345</f>
        <v>10543.044661225033</v>
      </c>
      <c r="D79" s="30"/>
      <c r="E79" s="30"/>
      <c r="F79" s="30">
        <v>11559.56</v>
      </c>
      <c r="G79" s="30">
        <f t="shared" si="23"/>
        <v>109.6415729178639</v>
      </c>
      <c r="H79" s="30"/>
    </row>
    <row r="80" spans="1:8" s="1" customFormat="1" ht="13.5" customHeight="1" x14ac:dyDescent="0.2">
      <c r="A80" s="60">
        <v>3292</v>
      </c>
      <c r="B80" s="60" t="s">
        <v>50</v>
      </c>
      <c r="C80" s="30">
        <f>560153.65/7.5345</f>
        <v>74345.165571703503</v>
      </c>
      <c r="D80" s="30"/>
      <c r="E80" s="30"/>
      <c r="F80" s="30">
        <v>83140.81</v>
      </c>
      <c r="G80" s="30">
        <f t="shared" si="23"/>
        <v>111.8308223011668</v>
      </c>
      <c r="H80" s="30"/>
    </row>
    <row r="81" spans="1:8" s="1" customFormat="1" ht="13.5" customHeight="1" x14ac:dyDescent="0.2">
      <c r="A81" s="60">
        <v>3293</v>
      </c>
      <c r="B81" s="60" t="s">
        <v>51</v>
      </c>
      <c r="C81" s="30">
        <f>26906.9/7.5345</f>
        <v>3571.1593337315016</v>
      </c>
      <c r="D81" s="30"/>
      <c r="E81" s="30"/>
      <c r="F81" s="30">
        <v>2789.11</v>
      </c>
      <c r="G81" s="30">
        <f t="shared" si="23"/>
        <v>78.100967762915843</v>
      </c>
      <c r="H81" s="30"/>
    </row>
    <row r="82" spans="1:8" s="1" customFormat="1" ht="13.5" customHeight="1" x14ac:dyDescent="0.2">
      <c r="A82" s="60">
        <v>3294</v>
      </c>
      <c r="B82" s="60" t="s">
        <v>52</v>
      </c>
      <c r="C82" s="30">
        <f>27660.04/7.5345</f>
        <v>3671.1181896608932</v>
      </c>
      <c r="D82" s="30"/>
      <c r="E82" s="30"/>
      <c r="F82" s="30">
        <v>8802.59</v>
      </c>
      <c r="G82" s="30">
        <f t="shared" si="23"/>
        <v>239.77953160949875</v>
      </c>
      <c r="H82" s="30"/>
    </row>
    <row r="83" spans="1:8" s="1" customFormat="1" ht="13.5" customHeight="1" x14ac:dyDescent="0.2">
      <c r="A83" s="60">
        <v>3295</v>
      </c>
      <c r="B83" s="60" t="s">
        <v>53</v>
      </c>
      <c r="C83" s="30">
        <f>8000311.81/7.5345</f>
        <v>1061823.8516159002</v>
      </c>
      <c r="D83" s="30"/>
      <c r="E83" s="30"/>
      <c r="F83" s="30">
        <v>1250057.5</v>
      </c>
      <c r="G83" s="30">
        <f t="shared" si="23"/>
        <v>117.72738934971585</v>
      </c>
      <c r="H83" s="30"/>
    </row>
    <row r="84" spans="1:8" s="1" customFormat="1" ht="13.5" customHeight="1" x14ac:dyDescent="0.2">
      <c r="A84" s="60">
        <v>3296</v>
      </c>
      <c r="B84" s="60" t="s">
        <v>54</v>
      </c>
      <c r="C84" s="30">
        <f>54485/7.5345</f>
        <v>7231.4022164709004</v>
      </c>
      <c r="D84" s="30"/>
      <c r="E84" s="30"/>
      <c r="F84" s="30">
        <v>7.7</v>
      </c>
      <c r="G84" s="30">
        <f t="shared" si="23"/>
        <v>0.10648004037808571</v>
      </c>
      <c r="H84" s="30"/>
    </row>
    <row r="85" spans="1:8" s="1" customFormat="1" ht="13.5" customHeight="1" x14ac:dyDescent="0.2">
      <c r="A85" s="60">
        <v>3299</v>
      </c>
      <c r="B85" s="60" t="s">
        <v>49</v>
      </c>
      <c r="C85" s="30">
        <f>11502034.05/7.5345</f>
        <v>1526582.2615966555</v>
      </c>
      <c r="D85" s="30"/>
      <c r="E85" s="30"/>
      <c r="F85" s="30">
        <v>2277575.08</v>
      </c>
      <c r="G85" s="30">
        <f t="shared" si="23"/>
        <v>149.1943891459789</v>
      </c>
      <c r="H85" s="30"/>
    </row>
    <row r="86" spans="1:8" s="1" customFormat="1" ht="13.5" customHeight="1" x14ac:dyDescent="0.2">
      <c r="A86" s="45">
        <v>34</v>
      </c>
      <c r="B86" s="45" t="s">
        <v>55</v>
      </c>
      <c r="C86" s="31">
        <f t="shared" ref="C86" si="29">C87</f>
        <v>135950.82885393855</v>
      </c>
      <c r="D86" s="31">
        <v>73247</v>
      </c>
      <c r="E86" s="31">
        <v>73247</v>
      </c>
      <c r="F86" s="31">
        <f t="shared" ref="F86" si="30">F87</f>
        <v>63631.15</v>
      </c>
      <c r="G86" s="31">
        <f t="shared" si="23"/>
        <v>46.804532591973654</v>
      </c>
      <c r="H86" s="31">
        <f>F86/E86*100</f>
        <v>86.872022062337024</v>
      </c>
    </row>
    <row r="87" spans="1:8" s="1" customFormat="1" ht="13.5" customHeight="1" x14ac:dyDescent="0.2">
      <c r="A87" s="46">
        <v>343</v>
      </c>
      <c r="B87" s="46" t="s">
        <v>140</v>
      </c>
      <c r="C87" s="31">
        <f>SUM(C88:C91)</f>
        <v>135950.82885393855</v>
      </c>
      <c r="D87" s="31"/>
      <c r="E87" s="31"/>
      <c r="F87" s="31">
        <f t="shared" ref="F87" si="31">SUM(F88:F91)</f>
        <v>63631.15</v>
      </c>
      <c r="G87" s="31">
        <f t="shared" si="23"/>
        <v>46.804532591973654</v>
      </c>
      <c r="H87" s="31"/>
    </row>
    <row r="88" spans="1:8" s="1" customFormat="1" ht="13.5" customHeight="1" x14ac:dyDescent="0.2">
      <c r="A88" s="60">
        <v>3431</v>
      </c>
      <c r="B88" s="60" t="s">
        <v>56</v>
      </c>
      <c r="C88" s="30">
        <f>893369.76/7.5345</f>
        <v>118570.54349990045</v>
      </c>
      <c r="D88" s="30"/>
      <c r="E88" s="30"/>
      <c r="F88" s="30">
        <v>59596.18</v>
      </c>
      <c r="G88" s="30">
        <f t="shared" si="23"/>
        <v>50.262213734433992</v>
      </c>
      <c r="H88" s="30"/>
    </row>
    <row r="89" spans="1:8" s="1" customFormat="1" ht="25.5" x14ac:dyDescent="0.2">
      <c r="A89" s="60">
        <v>3432</v>
      </c>
      <c r="B89" s="60" t="s">
        <v>57</v>
      </c>
      <c r="C89" s="30">
        <f>31166.67/7.5345</f>
        <v>4136.5279713318732</v>
      </c>
      <c r="D89" s="30"/>
      <c r="E89" s="30"/>
      <c r="F89" s="30">
        <v>1226.08</v>
      </c>
      <c r="G89" s="30">
        <f t="shared" si="23"/>
        <v>29.640316915474124</v>
      </c>
      <c r="H89" s="30"/>
    </row>
    <row r="90" spans="1:8" s="1" customFormat="1" ht="13.5" customHeight="1" x14ac:dyDescent="0.2">
      <c r="A90" s="60">
        <v>3433</v>
      </c>
      <c r="B90" s="60" t="s">
        <v>58</v>
      </c>
      <c r="C90" s="30">
        <f>99785.09/7.5345</f>
        <v>13243.757382706217</v>
      </c>
      <c r="D90" s="30"/>
      <c r="E90" s="30"/>
      <c r="F90" s="30">
        <v>2808.89</v>
      </c>
      <c r="G90" s="30">
        <f t="shared" si="23"/>
        <v>21.20916231573274</v>
      </c>
      <c r="H90" s="30"/>
    </row>
    <row r="91" spans="1:8" s="1" customFormat="1" ht="13.5" hidden="1" customHeight="1" x14ac:dyDescent="0.2">
      <c r="A91" s="60">
        <v>3434</v>
      </c>
      <c r="B91" s="60" t="s">
        <v>59</v>
      </c>
      <c r="C91" s="32"/>
      <c r="D91" s="30"/>
      <c r="E91" s="30"/>
      <c r="F91" s="32"/>
      <c r="G91" s="30" t="e">
        <f t="shared" si="23"/>
        <v>#DIV/0!</v>
      </c>
      <c r="H91" s="30"/>
    </row>
    <row r="92" spans="1:8" s="1" customFormat="1" ht="13.5" customHeight="1" x14ac:dyDescent="0.2">
      <c r="A92" s="45">
        <v>35</v>
      </c>
      <c r="B92" s="45" t="s">
        <v>74</v>
      </c>
      <c r="C92" s="31">
        <f t="shared" ref="C92:C93" si="32">C93</f>
        <v>35313.539053686371</v>
      </c>
      <c r="D92" s="31">
        <v>60840</v>
      </c>
      <c r="E92" s="31">
        <v>60840</v>
      </c>
      <c r="F92" s="31">
        <f t="shared" ref="F92:F93" si="33">F93</f>
        <v>71363.45</v>
      </c>
      <c r="G92" s="31">
        <f t="shared" si="23"/>
        <v>202.08523957768088</v>
      </c>
      <c r="H92" s="31">
        <f>F92/E92*100</f>
        <v>117.29692636423405</v>
      </c>
    </row>
    <row r="93" spans="1:8" s="1" customFormat="1" ht="12.75" x14ac:dyDescent="0.2">
      <c r="A93" s="46">
        <v>351</v>
      </c>
      <c r="B93" s="46" t="s">
        <v>75</v>
      </c>
      <c r="C93" s="31">
        <f t="shared" si="32"/>
        <v>35313.539053686371</v>
      </c>
      <c r="D93" s="31"/>
      <c r="E93" s="31"/>
      <c r="F93" s="31">
        <f t="shared" si="33"/>
        <v>71363.45</v>
      </c>
      <c r="G93" s="31">
        <f t="shared" si="23"/>
        <v>202.08523957768088</v>
      </c>
      <c r="H93" s="31"/>
    </row>
    <row r="94" spans="1:8" s="1" customFormat="1" ht="13.5" customHeight="1" x14ac:dyDescent="0.2">
      <c r="A94" s="60">
        <v>3512</v>
      </c>
      <c r="B94" s="60" t="s">
        <v>75</v>
      </c>
      <c r="C94" s="30">
        <f>266069.86/7.5345</f>
        <v>35313.539053686371</v>
      </c>
      <c r="D94" s="30"/>
      <c r="E94" s="30"/>
      <c r="F94" s="30">
        <v>71363.45</v>
      </c>
      <c r="G94" s="30">
        <f t="shared" si="23"/>
        <v>202.08523957768088</v>
      </c>
      <c r="H94" s="30"/>
    </row>
    <row r="95" spans="1:8" s="1" customFormat="1" ht="13.5" customHeight="1" x14ac:dyDescent="0.2">
      <c r="A95" s="59">
        <v>36</v>
      </c>
      <c r="B95" s="59" t="s">
        <v>76</v>
      </c>
      <c r="C95" s="31">
        <f>C96+C98+C101</f>
        <v>1378431.0996084677</v>
      </c>
      <c r="D95" s="31">
        <v>2610438</v>
      </c>
      <c r="E95" s="31">
        <v>2610438</v>
      </c>
      <c r="F95" s="31">
        <f>F96+F98+F101</f>
        <v>2512908.11</v>
      </c>
      <c r="G95" s="31">
        <f t="shared" si="23"/>
        <v>182.30204692231416</v>
      </c>
      <c r="H95" s="31">
        <f>F95/E95*100</f>
        <v>96.26384959152449</v>
      </c>
    </row>
    <row r="96" spans="1:8" s="1" customFormat="1" ht="13.5" customHeight="1" x14ac:dyDescent="0.2">
      <c r="A96" s="49">
        <v>363</v>
      </c>
      <c r="B96" s="49" t="s">
        <v>141</v>
      </c>
      <c r="C96" s="31">
        <f>C97</f>
        <v>547955.59227553254</v>
      </c>
      <c r="D96" s="31"/>
      <c r="E96" s="31"/>
      <c r="F96" s="31">
        <f t="shared" ref="F96" si="34">F97</f>
        <v>1509320.01</v>
      </c>
      <c r="G96" s="31">
        <f t="shared" si="23"/>
        <v>275.44568050344077</v>
      </c>
      <c r="H96" s="31"/>
    </row>
    <row r="97" spans="1:8" s="1" customFormat="1" ht="13.5" customHeight="1" x14ac:dyDescent="0.2">
      <c r="A97" s="60">
        <v>3631</v>
      </c>
      <c r="B97" s="60" t="s">
        <v>77</v>
      </c>
      <c r="C97" s="30">
        <f>4128571.41/7.5345</f>
        <v>547955.59227553254</v>
      </c>
      <c r="D97" s="32"/>
      <c r="E97" s="32"/>
      <c r="F97" s="30">
        <v>1509320.01</v>
      </c>
      <c r="G97" s="30">
        <f t="shared" si="23"/>
        <v>275.44568050344077</v>
      </c>
      <c r="H97" s="30"/>
    </row>
    <row r="98" spans="1:8" s="34" customFormat="1" ht="12.75" x14ac:dyDescent="0.2">
      <c r="A98" s="46">
        <v>366</v>
      </c>
      <c r="B98" s="46" t="s">
        <v>142</v>
      </c>
      <c r="C98" s="31">
        <f>SUM(C99:C100)</f>
        <v>1592.6737009755125</v>
      </c>
      <c r="D98" s="31"/>
      <c r="E98" s="31"/>
      <c r="F98" s="31">
        <f>SUM(F99:F100)</f>
        <v>37750</v>
      </c>
      <c r="G98" s="31">
        <f t="shared" si="23"/>
        <v>2370.2281250000001</v>
      </c>
      <c r="H98" s="31"/>
    </row>
    <row r="99" spans="1:8" s="1" customFormat="1" ht="12.75" x14ac:dyDescent="0.2">
      <c r="A99" s="61">
        <v>3661</v>
      </c>
      <c r="B99" s="61" t="s">
        <v>78</v>
      </c>
      <c r="C99" s="30">
        <f>12000/7.5345</f>
        <v>1592.6737009755125</v>
      </c>
      <c r="D99" s="32"/>
      <c r="E99" s="32"/>
      <c r="F99" s="30">
        <v>8875</v>
      </c>
      <c r="G99" s="30">
        <f t="shared" si="23"/>
        <v>557.23906250000005</v>
      </c>
      <c r="H99" s="30"/>
    </row>
    <row r="100" spans="1:8" s="1" customFormat="1" ht="12.75" x14ac:dyDescent="0.2">
      <c r="A100" s="61">
        <v>3662</v>
      </c>
      <c r="B100" s="61" t="s">
        <v>158</v>
      </c>
      <c r="C100" s="30"/>
      <c r="D100" s="32"/>
      <c r="E100" s="32"/>
      <c r="F100" s="30">
        <v>28875</v>
      </c>
      <c r="G100" s="30"/>
      <c r="H100" s="30"/>
    </row>
    <row r="101" spans="1:8" s="34" customFormat="1" ht="12.75" x14ac:dyDescent="0.2">
      <c r="A101" s="49">
        <v>369</v>
      </c>
      <c r="B101" s="49" t="s">
        <v>143</v>
      </c>
      <c r="C101" s="31">
        <f>C102</f>
        <v>828882.83363195963</v>
      </c>
      <c r="D101" s="31"/>
      <c r="E101" s="31"/>
      <c r="F101" s="31">
        <f t="shared" ref="F101" si="35">F102</f>
        <v>965838.1</v>
      </c>
      <c r="G101" s="31">
        <f t="shared" si="23"/>
        <v>116.52287401923095</v>
      </c>
      <c r="H101" s="31"/>
    </row>
    <row r="102" spans="1:8" s="1" customFormat="1" ht="12.75" x14ac:dyDescent="0.2">
      <c r="A102" s="61">
        <v>3691</v>
      </c>
      <c r="B102" s="61" t="s">
        <v>79</v>
      </c>
      <c r="C102" s="30">
        <f>6245217.71/7.5345</f>
        <v>828882.83363195963</v>
      </c>
      <c r="D102" s="30"/>
      <c r="E102" s="30"/>
      <c r="F102" s="30">
        <v>965838.1</v>
      </c>
      <c r="G102" s="30">
        <f t="shared" si="23"/>
        <v>116.52287401923095</v>
      </c>
      <c r="H102" s="30"/>
    </row>
    <row r="103" spans="1:8" s="1" customFormat="1" ht="25.5" x14ac:dyDescent="0.2">
      <c r="A103" s="45">
        <v>37</v>
      </c>
      <c r="B103" s="45" t="s">
        <v>144</v>
      </c>
      <c r="C103" s="31">
        <f>C104</f>
        <v>39508.776959320458</v>
      </c>
      <c r="D103" s="31">
        <v>84545</v>
      </c>
      <c r="E103" s="31">
        <v>84545</v>
      </c>
      <c r="F103" s="31">
        <f t="shared" ref="F103:F104" si="36">F104</f>
        <v>19302.3</v>
      </c>
      <c r="G103" s="31">
        <f t="shared" si="23"/>
        <v>48.855726462690264</v>
      </c>
      <c r="H103" s="31">
        <f>F103/E103*100</f>
        <v>22.830800165592287</v>
      </c>
    </row>
    <row r="104" spans="1:8" s="1" customFormat="1" ht="12.75" x14ac:dyDescent="0.2">
      <c r="A104" s="49">
        <v>372</v>
      </c>
      <c r="B104" s="49" t="s">
        <v>145</v>
      </c>
      <c r="C104" s="31">
        <f>C105</f>
        <v>39508.776959320458</v>
      </c>
      <c r="D104" s="31"/>
      <c r="E104" s="31"/>
      <c r="F104" s="31">
        <f t="shared" si="36"/>
        <v>19302.3</v>
      </c>
      <c r="G104" s="31">
        <f t="shared" si="23"/>
        <v>48.855726462690264</v>
      </c>
      <c r="H104" s="31"/>
    </row>
    <row r="105" spans="1:8" s="1" customFormat="1" ht="13.5" customHeight="1" x14ac:dyDescent="0.2">
      <c r="A105" s="60">
        <v>3721</v>
      </c>
      <c r="B105" s="60" t="s">
        <v>81</v>
      </c>
      <c r="C105" s="30">
        <f>297678.88/7.5345</f>
        <v>39508.776959320458</v>
      </c>
      <c r="D105" s="30"/>
      <c r="E105" s="30"/>
      <c r="F105" s="30">
        <v>19302.3</v>
      </c>
      <c r="G105" s="30">
        <f t="shared" si="23"/>
        <v>48.855726462690264</v>
      </c>
      <c r="H105" s="30"/>
    </row>
    <row r="106" spans="1:8" s="1" customFormat="1" ht="13.5" customHeight="1" x14ac:dyDescent="0.2">
      <c r="A106" s="45">
        <v>38</v>
      </c>
      <c r="B106" s="45" t="s">
        <v>82</v>
      </c>
      <c r="C106" s="31">
        <f>C107+C109+C111</f>
        <v>86057.449067622263</v>
      </c>
      <c r="D106" s="31">
        <v>160741</v>
      </c>
      <c r="E106" s="31">
        <v>160741</v>
      </c>
      <c r="F106" s="31">
        <f>F107+F109+F111</f>
        <v>322190.38999999996</v>
      </c>
      <c r="G106" s="31">
        <f t="shared" si="23"/>
        <v>374.38989127696436</v>
      </c>
      <c r="H106" s="31">
        <f>F106/E106*100</f>
        <v>200.44070274541031</v>
      </c>
    </row>
    <row r="107" spans="1:8" s="1" customFormat="1" ht="13.5" customHeight="1" x14ac:dyDescent="0.2">
      <c r="A107" s="46">
        <v>381</v>
      </c>
      <c r="B107" s="46" t="s">
        <v>127</v>
      </c>
      <c r="C107" s="31">
        <f>C108</f>
        <v>85393.835025549139</v>
      </c>
      <c r="D107" s="31"/>
      <c r="E107" s="31"/>
      <c r="F107" s="31">
        <f t="shared" ref="F107:F109" si="37">F108</f>
        <v>109905.17</v>
      </c>
      <c r="G107" s="31">
        <f t="shared" si="23"/>
        <v>128.70386950898418</v>
      </c>
      <c r="H107" s="31"/>
    </row>
    <row r="108" spans="1:8" s="1" customFormat="1" ht="13.5" customHeight="1" x14ac:dyDescent="0.2">
      <c r="A108" s="60">
        <v>3811</v>
      </c>
      <c r="B108" s="60" t="s">
        <v>83</v>
      </c>
      <c r="C108" s="30">
        <f>643399.85/7.5345</f>
        <v>85393.835025549139</v>
      </c>
      <c r="D108" s="30"/>
      <c r="E108" s="30"/>
      <c r="F108" s="30">
        <v>109905.17</v>
      </c>
      <c r="G108" s="30">
        <f t="shared" si="23"/>
        <v>128.70386950898418</v>
      </c>
      <c r="H108" s="30"/>
    </row>
    <row r="109" spans="1:8" s="1" customFormat="1" ht="13.5" customHeight="1" x14ac:dyDescent="0.2">
      <c r="A109" s="46">
        <v>382</v>
      </c>
      <c r="B109" s="46" t="s">
        <v>157</v>
      </c>
      <c r="C109" s="31">
        <f>C110</f>
        <v>0</v>
      </c>
      <c r="D109" s="31"/>
      <c r="E109" s="31"/>
      <c r="F109" s="31">
        <f t="shared" si="37"/>
        <v>200000</v>
      </c>
      <c r="G109" s="31"/>
      <c r="H109" s="31"/>
    </row>
    <row r="110" spans="1:8" s="1" customFormat="1" ht="13.5" customHeight="1" x14ac:dyDescent="0.2">
      <c r="A110" s="60">
        <v>3821</v>
      </c>
      <c r="B110" s="60" t="s">
        <v>156</v>
      </c>
      <c r="C110" s="30"/>
      <c r="D110" s="30"/>
      <c r="E110" s="30"/>
      <c r="F110" s="30">
        <v>200000</v>
      </c>
      <c r="G110" s="30"/>
      <c r="H110" s="30"/>
    </row>
    <row r="111" spans="1:8" s="34" customFormat="1" ht="13.5" customHeight="1" x14ac:dyDescent="0.2">
      <c r="A111" s="46">
        <v>383</v>
      </c>
      <c r="B111" s="46" t="s">
        <v>146</v>
      </c>
      <c r="C111" s="31">
        <f>SUM(C112:C114)</f>
        <v>663.61404207313024</v>
      </c>
      <c r="D111" s="31"/>
      <c r="E111" s="31"/>
      <c r="F111" s="31">
        <f t="shared" ref="F111" si="38">SUM(F112:F114)</f>
        <v>12285.22</v>
      </c>
      <c r="G111" s="31">
        <f t="shared" si="23"/>
        <v>1851.2598017999999</v>
      </c>
      <c r="H111" s="31"/>
    </row>
    <row r="112" spans="1:8" s="1" customFormat="1" ht="13.5" customHeight="1" x14ac:dyDescent="0.2">
      <c r="A112" s="60">
        <v>3831</v>
      </c>
      <c r="B112" s="60" t="s">
        <v>84</v>
      </c>
      <c r="C112" s="30">
        <f>2500/7.5345</f>
        <v>331.80702103656512</v>
      </c>
      <c r="D112" s="30"/>
      <c r="E112" s="30"/>
      <c r="F112" s="30">
        <v>2640</v>
      </c>
      <c r="G112" s="30">
        <f t="shared" si="23"/>
        <v>795.64320000000009</v>
      </c>
      <c r="H112" s="30"/>
    </row>
    <row r="113" spans="1:8" s="1" customFormat="1" ht="13.5" hidden="1" customHeight="1" x14ac:dyDescent="0.2">
      <c r="A113" s="60">
        <v>3833</v>
      </c>
      <c r="B113" s="60" t="s">
        <v>85</v>
      </c>
      <c r="C113" s="33"/>
      <c r="D113" s="32"/>
      <c r="E113" s="32"/>
      <c r="F113" s="32"/>
      <c r="G113" s="30"/>
      <c r="H113" s="30"/>
    </row>
    <row r="114" spans="1:8" s="1" customFormat="1" ht="13.5" customHeight="1" x14ac:dyDescent="0.2">
      <c r="A114" s="60">
        <v>3835</v>
      </c>
      <c r="B114" s="60" t="s">
        <v>86</v>
      </c>
      <c r="C114" s="30">
        <f>2500/7.5345</f>
        <v>331.80702103656512</v>
      </c>
      <c r="D114" s="30"/>
      <c r="E114" s="30"/>
      <c r="F114" s="30">
        <v>9645.2199999999993</v>
      </c>
      <c r="G114" s="30">
        <f t="shared" si="23"/>
        <v>2906.8764036000002</v>
      </c>
      <c r="H114" s="30"/>
    </row>
    <row r="115" spans="1:8" s="1" customFormat="1" ht="13.5" customHeight="1" x14ac:dyDescent="0.2">
      <c r="A115" s="35">
        <v>4</v>
      </c>
      <c r="B115" s="35" t="s">
        <v>147</v>
      </c>
      <c r="C115" s="36">
        <f>C118+C120+C121+C124+C126+C127+C128+C129+C130+C131+C132+C134+C135+C137+C139+C142+C144</f>
        <v>2398189.7020372953</v>
      </c>
      <c r="D115" s="36">
        <f>D116+D122+D140</f>
        <v>6645325</v>
      </c>
      <c r="E115" s="36">
        <f>E116+E122+E140</f>
        <v>6645325</v>
      </c>
      <c r="F115" s="36">
        <f t="shared" ref="F115" si="39">F118+F120+F121+F124+F126+F127+F128+F129+F130+F131+F132+F134+F135+F137+F139+F142+F144</f>
        <v>2387534.0300000003</v>
      </c>
      <c r="G115" s="36">
        <f t="shared" si="23"/>
        <v>99.555678517498308</v>
      </c>
      <c r="H115" s="36">
        <f>F115/E115*100</f>
        <v>35.928025040159817</v>
      </c>
    </row>
    <row r="116" spans="1:8" s="1" customFormat="1" ht="13.5" customHeight="1" x14ac:dyDescent="0.2">
      <c r="A116" s="59">
        <v>41</v>
      </c>
      <c r="B116" s="59" t="s">
        <v>87</v>
      </c>
      <c r="C116" s="31">
        <f>C117+C119</f>
        <v>49932.974981750609</v>
      </c>
      <c r="D116" s="31">
        <v>1234322</v>
      </c>
      <c r="E116" s="31">
        <v>1234322</v>
      </c>
      <c r="F116" s="31">
        <f t="shared" ref="F116" si="40">F117+F119</f>
        <v>0</v>
      </c>
      <c r="G116" s="31">
        <f t="shared" si="23"/>
        <v>0</v>
      </c>
      <c r="H116" s="31">
        <f>F116/E116*100</f>
        <v>0</v>
      </c>
    </row>
    <row r="117" spans="1:8" s="1" customFormat="1" ht="13.5" hidden="1" customHeight="1" x14ac:dyDescent="0.2">
      <c r="A117" s="49">
        <v>411</v>
      </c>
      <c r="B117" s="49" t="s">
        <v>148</v>
      </c>
      <c r="C117" s="31">
        <f>C118</f>
        <v>0</v>
      </c>
      <c r="D117" s="31"/>
      <c r="E117" s="31"/>
      <c r="F117" s="31">
        <f t="shared" ref="F117" si="41">F118</f>
        <v>0</v>
      </c>
      <c r="G117" s="31" t="e">
        <f t="shared" si="23"/>
        <v>#DIV/0!</v>
      </c>
      <c r="H117" s="31"/>
    </row>
    <row r="118" spans="1:8" s="1" customFormat="1" ht="13.5" hidden="1" customHeight="1" x14ac:dyDescent="0.2">
      <c r="A118" s="60">
        <v>4111</v>
      </c>
      <c r="B118" s="60" t="s">
        <v>88</v>
      </c>
      <c r="C118" s="30"/>
      <c r="D118" s="30"/>
      <c r="E118" s="30"/>
      <c r="F118" s="30"/>
      <c r="G118" s="30" t="e">
        <f t="shared" si="23"/>
        <v>#DIV/0!</v>
      </c>
      <c r="H118" s="30"/>
    </row>
    <row r="119" spans="1:8" s="34" customFormat="1" ht="13.5" customHeight="1" x14ac:dyDescent="0.2">
      <c r="A119" s="46">
        <v>412</v>
      </c>
      <c r="B119" s="46" t="s">
        <v>149</v>
      </c>
      <c r="C119" s="31">
        <f>SUM(C120:C121)</f>
        <v>49932.974981750609</v>
      </c>
      <c r="D119" s="31"/>
      <c r="E119" s="31"/>
      <c r="F119" s="31">
        <f t="shared" ref="F119" si="42">SUM(F120:F121)</f>
        <v>0</v>
      </c>
      <c r="G119" s="31">
        <f t="shared" si="23"/>
        <v>0</v>
      </c>
      <c r="H119" s="31"/>
    </row>
    <row r="120" spans="1:8" s="1" customFormat="1" ht="13.5" hidden="1" customHeight="1" x14ac:dyDescent="0.2">
      <c r="A120" s="60">
        <v>4123</v>
      </c>
      <c r="B120" s="60" t="s">
        <v>89</v>
      </c>
      <c r="C120" s="30"/>
      <c r="D120" s="30"/>
      <c r="E120" s="30"/>
      <c r="F120" s="32"/>
      <c r="G120" s="30" t="e">
        <f t="shared" ref="G120:G144" si="43">F120/C120*100</f>
        <v>#DIV/0!</v>
      </c>
      <c r="H120" s="30"/>
    </row>
    <row r="121" spans="1:8" s="1" customFormat="1" ht="13.5" customHeight="1" x14ac:dyDescent="0.2">
      <c r="A121" s="60">
        <v>4124</v>
      </c>
      <c r="B121" s="60" t="s">
        <v>90</v>
      </c>
      <c r="C121" s="30">
        <f>376220/7.5345</f>
        <v>49932.974981750609</v>
      </c>
      <c r="D121" s="30"/>
      <c r="E121" s="30"/>
      <c r="F121" s="30"/>
      <c r="G121" s="30">
        <f t="shared" si="43"/>
        <v>0</v>
      </c>
      <c r="H121" s="30"/>
    </row>
    <row r="122" spans="1:8" s="1" customFormat="1" ht="13.5" customHeight="1" x14ac:dyDescent="0.2">
      <c r="A122" s="59">
        <v>42</v>
      </c>
      <c r="B122" s="59" t="s">
        <v>60</v>
      </c>
      <c r="C122" s="31">
        <f>C123+C125+C133+C136+C138</f>
        <v>471819.40407459025</v>
      </c>
      <c r="D122" s="31">
        <v>2297535</v>
      </c>
      <c r="E122" s="31">
        <v>2297535</v>
      </c>
      <c r="F122" s="31">
        <f t="shared" ref="F122" si="44">F123+F125+F133+F136+F138</f>
        <v>900417.6100000001</v>
      </c>
      <c r="G122" s="31">
        <f t="shared" si="43"/>
        <v>190.83946150244648</v>
      </c>
      <c r="H122" s="31">
        <f>F122/E122*100</f>
        <v>39.190593832085263</v>
      </c>
    </row>
    <row r="123" spans="1:8" s="1" customFormat="1" ht="13.5" customHeight="1" x14ac:dyDescent="0.2">
      <c r="A123" s="49">
        <v>421</v>
      </c>
      <c r="B123" s="49" t="s">
        <v>150</v>
      </c>
      <c r="C123" s="31">
        <f>C124</f>
        <v>191786.21673634613</v>
      </c>
      <c r="D123" s="31"/>
      <c r="E123" s="31"/>
      <c r="F123" s="31">
        <f t="shared" ref="F123" si="45">F124</f>
        <v>31175.48</v>
      </c>
      <c r="G123" s="31">
        <f t="shared" si="43"/>
        <v>16.255328735566955</v>
      </c>
      <c r="H123" s="31"/>
    </row>
    <row r="124" spans="1:8" s="1" customFormat="1" ht="13.5" customHeight="1" x14ac:dyDescent="0.2">
      <c r="A124" s="60">
        <v>4214</v>
      </c>
      <c r="B124" s="60" t="s">
        <v>91</v>
      </c>
      <c r="C124" s="30">
        <f>1445013.25/7.5345</f>
        <v>191786.21673634613</v>
      </c>
      <c r="D124" s="30"/>
      <c r="E124" s="30"/>
      <c r="F124" s="30">
        <v>31175.48</v>
      </c>
      <c r="G124" s="30">
        <f t="shared" si="43"/>
        <v>16.255328735566955</v>
      </c>
      <c r="H124" s="30"/>
    </row>
    <row r="125" spans="1:8" s="34" customFormat="1" ht="13.5" customHeight="1" x14ac:dyDescent="0.2">
      <c r="A125" s="46">
        <v>422</v>
      </c>
      <c r="B125" s="46" t="s">
        <v>151</v>
      </c>
      <c r="C125" s="31">
        <f>SUM(C126:C132)</f>
        <v>133960.28535403809</v>
      </c>
      <c r="D125" s="31"/>
      <c r="E125" s="31"/>
      <c r="F125" s="31">
        <f t="shared" ref="F125" si="46">SUM(F126:F132)</f>
        <v>558572.15</v>
      </c>
      <c r="G125" s="31">
        <f t="shared" si="43"/>
        <v>416.96846832161702</v>
      </c>
      <c r="H125" s="31"/>
    </row>
    <row r="126" spans="1:8" s="1" customFormat="1" ht="13.5" customHeight="1" x14ac:dyDescent="0.2">
      <c r="A126" s="60">
        <v>4221</v>
      </c>
      <c r="B126" s="60" t="s">
        <v>61</v>
      </c>
      <c r="C126" s="30">
        <f>167316.25/7.5345</f>
        <v>22206.682593403675</v>
      </c>
      <c r="D126" s="30"/>
      <c r="E126" s="30"/>
      <c r="F126" s="30">
        <v>92161.9</v>
      </c>
      <c r="G126" s="30">
        <f t="shared" si="43"/>
        <v>415.01876569072039</v>
      </c>
      <c r="H126" s="30"/>
    </row>
    <row r="127" spans="1:8" s="1" customFormat="1" ht="13.5" customHeight="1" x14ac:dyDescent="0.2">
      <c r="A127" s="60">
        <v>4222</v>
      </c>
      <c r="B127" s="60" t="s">
        <v>62</v>
      </c>
      <c r="C127" s="30">
        <f>82519.83/7.5345</f>
        <v>10952.263587497511</v>
      </c>
      <c r="D127" s="30"/>
      <c r="E127" s="30"/>
      <c r="F127" s="30">
        <v>260907.79</v>
      </c>
      <c r="G127" s="30">
        <f t="shared" si="43"/>
        <v>2382.2270886343317</v>
      </c>
      <c r="H127" s="30"/>
    </row>
    <row r="128" spans="1:8" s="1" customFormat="1" ht="13.5" customHeight="1" x14ac:dyDescent="0.2">
      <c r="A128" s="60">
        <v>4223</v>
      </c>
      <c r="B128" s="60" t="s">
        <v>63</v>
      </c>
      <c r="C128" s="30">
        <f>4844/7.5345</f>
        <v>642.90928396044853</v>
      </c>
      <c r="D128" s="30"/>
      <c r="E128" s="30"/>
      <c r="F128" s="30">
        <v>16389</v>
      </c>
      <c r="G128" s="30">
        <f t="shared" si="43"/>
        <v>2549.1932390586294</v>
      </c>
      <c r="H128" s="30"/>
    </row>
    <row r="129" spans="1:8" s="1" customFormat="1" ht="13.5" customHeight="1" x14ac:dyDescent="0.2">
      <c r="A129" s="60">
        <v>4224</v>
      </c>
      <c r="B129" s="60" t="s">
        <v>64</v>
      </c>
      <c r="C129" s="30"/>
      <c r="D129" s="30"/>
      <c r="E129" s="30"/>
      <c r="F129" s="30">
        <v>591.5</v>
      </c>
      <c r="G129" s="30"/>
      <c r="H129" s="30"/>
    </row>
    <row r="130" spans="1:8" s="1" customFormat="1" ht="13.5" customHeight="1" x14ac:dyDescent="0.2">
      <c r="A130" s="60">
        <v>4225</v>
      </c>
      <c r="B130" s="60" t="s">
        <v>65</v>
      </c>
      <c r="C130" s="30">
        <f>329780/7.5345</f>
        <v>43769.327758975378</v>
      </c>
      <c r="D130" s="30"/>
      <c r="E130" s="30"/>
      <c r="F130" s="30">
        <v>4491.25</v>
      </c>
      <c r="G130" s="30">
        <f t="shared" si="43"/>
        <v>10.261181128327976</v>
      </c>
      <c r="H130" s="30"/>
    </row>
    <row r="131" spans="1:8" s="1" customFormat="1" ht="13.5" customHeight="1" x14ac:dyDescent="0.2">
      <c r="A131" s="60">
        <v>4226</v>
      </c>
      <c r="B131" s="60" t="s">
        <v>66</v>
      </c>
      <c r="C131" s="32"/>
      <c r="D131" s="30"/>
      <c r="E131" s="30"/>
      <c r="F131" s="30">
        <v>26262.79</v>
      </c>
      <c r="G131" s="30"/>
      <c r="H131" s="30"/>
    </row>
    <row r="132" spans="1:8" s="1" customFormat="1" ht="13.5" customHeight="1" x14ac:dyDescent="0.2">
      <c r="A132" s="60">
        <v>4227</v>
      </c>
      <c r="B132" s="60" t="s">
        <v>67</v>
      </c>
      <c r="C132" s="30">
        <f>424863.69/7.5345</f>
        <v>56389.10213020107</v>
      </c>
      <c r="D132" s="30"/>
      <c r="E132" s="30"/>
      <c r="F132" s="30">
        <v>157767.92000000001</v>
      </c>
      <c r="G132" s="30">
        <f t="shared" si="43"/>
        <v>279.78441585347059</v>
      </c>
      <c r="H132" s="30"/>
    </row>
    <row r="133" spans="1:8" s="34" customFormat="1" ht="13.5" customHeight="1" x14ac:dyDescent="0.2">
      <c r="A133" s="46">
        <v>423</v>
      </c>
      <c r="B133" s="46" t="s">
        <v>152</v>
      </c>
      <c r="C133" s="31">
        <f>SUM(C134:C135)</f>
        <v>126446.61225031521</v>
      </c>
      <c r="D133" s="31"/>
      <c r="E133" s="31"/>
      <c r="F133" s="31">
        <f t="shared" ref="F133" si="47">SUM(F134:F135)</f>
        <v>274968.73000000004</v>
      </c>
      <c r="G133" s="31">
        <f t="shared" si="43"/>
        <v>217.45836057328978</v>
      </c>
      <c r="H133" s="31"/>
    </row>
    <row r="134" spans="1:8" s="1" customFormat="1" ht="13.5" customHeight="1" x14ac:dyDescent="0.2">
      <c r="A134" s="60">
        <v>4231</v>
      </c>
      <c r="B134" s="60" t="s">
        <v>92</v>
      </c>
      <c r="C134" s="30">
        <f>952712/7.5345</f>
        <v>126446.61225031521</v>
      </c>
      <c r="D134" s="30"/>
      <c r="E134" s="30"/>
      <c r="F134" s="30">
        <v>271875.96000000002</v>
      </c>
      <c r="G134" s="30">
        <f t="shared" si="43"/>
        <v>215.01245083718902</v>
      </c>
      <c r="H134" s="30"/>
    </row>
    <row r="135" spans="1:8" s="1" customFormat="1" ht="13.5" customHeight="1" x14ac:dyDescent="0.2">
      <c r="A135" s="61">
        <v>4233</v>
      </c>
      <c r="B135" s="61" t="s">
        <v>93</v>
      </c>
      <c r="C135" s="30"/>
      <c r="D135" s="30"/>
      <c r="E135" s="30"/>
      <c r="F135" s="30">
        <v>3092.77</v>
      </c>
      <c r="G135" s="30"/>
      <c r="H135" s="30"/>
    </row>
    <row r="136" spans="1:8" s="34" customFormat="1" ht="13.5" customHeight="1" x14ac:dyDescent="0.2">
      <c r="A136" s="49">
        <v>424</v>
      </c>
      <c r="B136" s="49" t="s">
        <v>153</v>
      </c>
      <c r="C136" s="31">
        <f>C137</f>
        <v>9499.5394518548001</v>
      </c>
      <c r="D136" s="31"/>
      <c r="E136" s="31"/>
      <c r="F136" s="31">
        <f t="shared" ref="F136" si="48">F137</f>
        <v>701.8</v>
      </c>
      <c r="G136" s="31">
        <f t="shared" si="43"/>
        <v>7.3877265688177376</v>
      </c>
      <c r="H136" s="31"/>
    </row>
    <row r="137" spans="1:8" s="1" customFormat="1" ht="13.5" customHeight="1" x14ac:dyDescent="0.2">
      <c r="A137" s="60">
        <v>4244</v>
      </c>
      <c r="B137" s="60" t="s">
        <v>94</v>
      </c>
      <c r="C137" s="30">
        <f>71574.28/7.5345</f>
        <v>9499.5394518548001</v>
      </c>
      <c r="D137" s="30"/>
      <c r="E137" s="30"/>
      <c r="F137" s="30">
        <v>701.8</v>
      </c>
      <c r="G137" s="30">
        <f t="shared" si="43"/>
        <v>7.3877265688177376</v>
      </c>
      <c r="H137" s="30"/>
    </row>
    <row r="138" spans="1:8" s="34" customFormat="1" ht="13.5" customHeight="1" x14ac:dyDescent="0.2">
      <c r="A138" s="46">
        <v>426</v>
      </c>
      <c r="B138" s="46" t="s">
        <v>154</v>
      </c>
      <c r="C138" s="31">
        <f>C139</f>
        <v>10126.750282035968</v>
      </c>
      <c r="D138" s="31"/>
      <c r="E138" s="31"/>
      <c r="F138" s="31">
        <f t="shared" ref="F138" si="49">F139</f>
        <v>34999.449999999997</v>
      </c>
      <c r="G138" s="31">
        <f t="shared" si="43"/>
        <v>345.61383489515072</v>
      </c>
      <c r="H138" s="31"/>
    </row>
    <row r="139" spans="1:8" s="1" customFormat="1" ht="13.5" customHeight="1" x14ac:dyDescent="0.2">
      <c r="A139" s="60">
        <v>4262</v>
      </c>
      <c r="B139" s="60" t="s">
        <v>68</v>
      </c>
      <c r="C139" s="30">
        <f>76300/7.5345</f>
        <v>10126.750282035968</v>
      </c>
      <c r="D139" s="30"/>
      <c r="E139" s="30"/>
      <c r="F139" s="30">
        <v>34999.449999999997</v>
      </c>
      <c r="G139" s="30">
        <f t="shared" si="43"/>
        <v>345.61383489515072</v>
      </c>
      <c r="H139" s="30"/>
    </row>
    <row r="140" spans="1:8" s="1" customFormat="1" ht="13.5" customHeight="1" x14ac:dyDescent="0.2">
      <c r="A140" s="59">
        <v>45</v>
      </c>
      <c r="B140" s="59" t="s">
        <v>69</v>
      </c>
      <c r="C140" s="31">
        <f>C141+C143</f>
        <v>1876437.3229809541</v>
      </c>
      <c r="D140" s="31">
        <v>3113468</v>
      </c>
      <c r="E140" s="31">
        <v>3113468</v>
      </c>
      <c r="F140" s="31">
        <f t="shared" ref="F140" si="50">F141+F143</f>
        <v>1487116.4200000002</v>
      </c>
      <c r="G140" s="31">
        <f t="shared" si="43"/>
        <v>79.252123254377111</v>
      </c>
      <c r="H140" s="31">
        <f>F140/E140*100</f>
        <v>47.763986011739966</v>
      </c>
    </row>
    <row r="141" spans="1:8" s="1" customFormat="1" ht="13.5" customHeight="1" x14ac:dyDescent="0.2">
      <c r="A141" s="49">
        <v>451</v>
      </c>
      <c r="B141" s="49" t="s">
        <v>70</v>
      </c>
      <c r="C141" s="31">
        <f>C142</f>
        <v>1856453.2497179639</v>
      </c>
      <c r="D141" s="31"/>
      <c r="E141" s="31"/>
      <c r="F141" s="31">
        <f t="shared" ref="F141" si="51">F142</f>
        <v>1403553.33</v>
      </c>
      <c r="G141" s="31">
        <f t="shared" si="43"/>
        <v>75.604022358937968</v>
      </c>
      <c r="H141" s="31"/>
    </row>
    <row r="142" spans="1:8" s="1" customFormat="1" ht="13.5" customHeight="1" x14ac:dyDescent="0.2">
      <c r="A142" s="60">
        <v>4511</v>
      </c>
      <c r="B142" s="60" t="s">
        <v>70</v>
      </c>
      <c r="C142" s="30">
        <f>13987447.01/7.5345</f>
        <v>1856453.2497179639</v>
      </c>
      <c r="D142" s="30"/>
      <c r="E142" s="30"/>
      <c r="F142" s="30">
        <v>1403553.33</v>
      </c>
      <c r="G142" s="30">
        <f t="shared" si="43"/>
        <v>75.604022358937968</v>
      </c>
      <c r="H142" s="30"/>
    </row>
    <row r="143" spans="1:8" s="34" customFormat="1" ht="13.5" customHeight="1" x14ac:dyDescent="0.2">
      <c r="A143" s="46">
        <v>452</v>
      </c>
      <c r="B143" s="46" t="s">
        <v>71</v>
      </c>
      <c r="C143" s="31">
        <f>C144</f>
        <v>19984.073262990245</v>
      </c>
      <c r="D143" s="31"/>
      <c r="E143" s="31"/>
      <c r="F143" s="31">
        <f t="shared" ref="F143" si="52">F144</f>
        <v>83563.09</v>
      </c>
      <c r="G143" s="31">
        <f t="shared" si="43"/>
        <v>418.14843700936439</v>
      </c>
      <c r="H143" s="31"/>
    </row>
    <row r="144" spans="1:8" s="1" customFormat="1" ht="13.5" customHeight="1" x14ac:dyDescent="0.2">
      <c r="A144" s="60">
        <v>4521</v>
      </c>
      <c r="B144" s="60" t="s">
        <v>71</v>
      </c>
      <c r="C144" s="30">
        <f>150570/7.5345</f>
        <v>19984.073262990245</v>
      </c>
      <c r="D144" s="30"/>
      <c r="E144" s="30"/>
      <c r="F144" s="30">
        <v>83563.09</v>
      </c>
      <c r="G144" s="30">
        <f t="shared" si="43"/>
        <v>418.14843700936439</v>
      </c>
      <c r="H144" s="30"/>
    </row>
    <row r="145" spans="1:6" ht="13.5" customHeight="1" x14ac:dyDescent="0.2">
      <c r="A145" s="38"/>
      <c r="B145" s="38"/>
      <c r="C145" s="37"/>
      <c r="D145" s="37"/>
      <c r="E145" s="37"/>
      <c r="F145" s="37"/>
    </row>
    <row r="146" spans="1:6" ht="13.5" customHeight="1" x14ac:dyDescent="0.2">
      <c r="A146" s="38"/>
      <c r="B146" s="38"/>
      <c r="C146" s="37"/>
      <c r="D146" s="37"/>
      <c r="E146" s="37"/>
      <c r="F146" s="37"/>
    </row>
    <row r="147" spans="1:6" ht="13.5" customHeight="1" x14ac:dyDescent="0.2">
      <c r="A147" s="38"/>
      <c r="B147" s="38"/>
      <c r="C147" s="37"/>
      <c r="D147" s="37"/>
      <c r="E147" s="37"/>
      <c r="F147" s="37"/>
    </row>
    <row r="148" spans="1:6" ht="13.5" customHeight="1" x14ac:dyDescent="0.2">
      <c r="A148" s="38"/>
      <c r="B148" s="38"/>
      <c r="C148" s="37"/>
      <c r="D148" s="37"/>
      <c r="E148" s="37"/>
      <c r="F148" s="37"/>
    </row>
    <row r="149" spans="1:6" ht="13.5" customHeight="1" x14ac:dyDescent="0.2"/>
    <row r="150" spans="1:6" ht="13.5" customHeight="1" x14ac:dyDescent="0.2"/>
  </sheetData>
  <mergeCells count="8">
    <mergeCell ref="A40:B40"/>
    <mergeCell ref="A41:B41"/>
    <mergeCell ref="A1:H1"/>
    <mergeCell ref="A3:H3"/>
    <mergeCell ref="A4:H4"/>
    <mergeCell ref="A7:B7"/>
    <mergeCell ref="A8:B8"/>
    <mergeCell ref="A5:H5"/>
  </mergeCells>
  <printOptions horizontalCentered="1"/>
  <pageMargins left="0.11811023622047245" right="0.11811023622047245" top="0.55118110236220474" bottom="0.35433070866141736" header="0.31496062992125984" footer="0.11811023622047245"/>
  <pageSetup paperSize="9" scale="95" orientation="landscape" horizontalDpi="4294967295" verticalDpi="4294967295" r:id="rId1"/>
  <headerFooter>
    <oddFooter>&amp;C
&amp;"Arial,Uobičajeno"&amp;9Stranica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view="pageBreakPreview" zoomScaleNormal="100" zoomScaleSheetLayoutView="100" workbookViewId="0">
      <selection activeCell="A5" sqref="A5:H5"/>
    </sheetView>
  </sheetViews>
  <sheetFormatPr defaultRowHeight="15" x14ac:dyDescent="0.25"/>
  <cols>
    <col min="1" max="1" width="7.42578125" customWidth="1"/>
    <col min="2" max="2" width="52.140625" customWidth="1"/>
    <col min="3" max="6" width="15.85546875" customWidth="1"/>
  </cols>
  <sheetData>
    <row r="1" spans="1:8" ht="33" customHeight="1" x14ac:dyDescent="0.25">
      <c r="A1" s="111" t="s">
        <v>177</v>
      </c>
      <c r="B1" s="111"/>
      <c r="C1" s="111"/>
      <c r="D1" s="111"/>
      <c r="E1" s="111"/>
      <c r="F1" s="111"/>
      <c r="G1" s="111"/>
      <c r="H1" s="111"/>
    </row>
    <row r="2" spans="1:8" x14ac:dyDescent="0.25">
      <c r="A2" s="3"/>
      <c r="B2" s="3"/>
      <c r="C2" s="3"/>
      <c r="D2" s="3"/>
      <c r="E2" s="3"/>
      <c r="F2" s="3"/>
      <c r="G2" s="3"/>
    </row>
    <row r="3" spans="1:8" x14ac:dyDescent="0.25">
      <c r="A3" s="112" t="s">
        <v>168</v>
      </c>
      <c r="B3" s="112"/>
      <c r="C3" s="112"/>
      <c r="D3" s="112"/>
      <c r="E3" s="112"/>
      <c r="F3" s="112"/>
      <c r="G3" s="112"/>
      <c r="H3" s="112"/>
    </row>
    <row r="4" spans="1:8" ht="33" customHeight="1" x14ac:dyDescent="0.25">
      <c r="A4" s="113" t="s">
        <v>170</v>
      </c>
      <c r="B4" s="113"/>
      <c r="C4" s="113"/>
      <c r="D4" s="113"/>
      <c r="E4" s="113"/>
      <c r="F4" s="113"/>
      <c r="G4" s="113"/>
      <c r="H4" s="113"/>
    </row>
    <row r="5" spans="1:8" x14ac:dyDescent="0.25">
      <c r="A5" s="112" t="s">
        <v>172</v>
      </c>
      <c r="B5" s="112"/>
      <c r="C5" s="112"/>
      <c r="D5" s="112"/>
      <c r="E5" s="112"/>
      <c r="F5" s="112"/>
      <c r="G5" s="112"/>
      <c r="H5" s="112"/>
    </row>
    <row r="7" spans="1:8" ht="39.950000000000003" customHeight="1" x14ac:dyDescent="0.25">
      <c r="A7" s="114" t="s">
        <v>0</v>
      </c>
      <c r="B7" s="115"/>
      <c r="C7" s="15" t="s">
        <v>18</v>
      </c>
      <c r="D7" s="15" t="s">
        <v>19</v>
      </c>
      <c r="E7" s="15" t="s">
        <v>10</v>
      </c>
      <c r="F7" s="15" t="s">
        <v>20</v>
      </c>
      <c r="G7" s="17" t="s">
        <v>1</v>
      </c>
      <c r="H7" s="17" t="s">
        <v>1</v>
      </c>
    </row>
    <row r="8" spans="1:8" ht="11.25" customHeight="1" x14ac:dyDescent="0.25">
      <c r="A8" s="116">
        <v>1</v>
      </c>
      <c r="B8" s="117"/>
      <c r="C8" s="16">
        <v>2</v>
      </c>
      <c r="D8" s="16">
        <v>3</v>
      </c>
      <c r="E8" s="16">
        <v>4</v>
      </c>
      <c r="F8" s="16">
        <v>5</v>
      </c>
      <c r="G8" s="16" t="s">
        <v>15</v>
      </c>
      <c r="H8" s="16" t="s">
        <v>16</v>
      </c>
    </row>
    <row r="9" spans="1:8" ht="13.5" customHeight="1" x14ac:dyDescent="0.25">
      <c r="A9" s="98" t="s">
        <v>163</v>
      </c>
      <c r="B9" s="99"/>
      <c r="C9" s="85">
        <f>C10+C12+C14+C16+C18</f>
        <v>46621174.462804429</v>
      </c>
      <c r="D9" s="85">
        <f t="shared" ref="D9:F9" si="0">D10+D12+D14+D16+D18</f>
        <v>56034603</v>
      </c>
      <c r="E9" s="85">
        <f t="shared" si="0"/>
        <v>56034603</v>
      </c>
      <c r="F9" s="85">
        <f t="shared" si="0"/>
        <v>57804261.709999993</v>
      </c>
      <c r="G9" s="86">
        <f t="shared" ref="G9" si="1">F9/C9*100</f>
        <v>123.98714184285022</v>
      </c>
      <c r="H9" s="86">
        <f>F9/E9*100</f>
        <v>103.15815338247332</v>
      </c>
    </row>
    <row r="10" spans="1:8" ht="13.5" customHeight="1" x14ac:dyDescent="0.25">
      <c r="A10" s="44">
        <v>3</v>
      </c>
      <c r="B10" s="44" t="s">
        <v>103</v>
      </c>
      <c r="C10" s="87">
        <f>C11</f>
        <v>18327760.975512639</v>
      </c>
      <c r="D10" s="87">
        <f t="shared" ref="D10:F10" si="2">D11</f>
        <v>24321000</v>
      </c>
      <c r="E10" s="87">
        <f t="shared" si="2"/>
        <v>24321000</v>
      </c>
      <c r="F10" s="87">
        <f t="shared" si="2"/>
        <v>25153683.789999999</v>
      </c>
      <c r="G10" s="88">
        <f>F10/C10*100</f>
        <v>137.2436263415228</v>
      </c>
      <c r="H10" s="88">
        <f>F10/E10*100</f>
        <v>103.42372348998808</v>
      </c>
    </row>
    <row r="11" spans="1:8" ht="13.5" customHeight="1" x14ac:dyDescent="0.25">
      <c r="A11" s="105">
        <v>31</v>
      </c>
      <c r="B11" s="105" t="s">
        <v>103</v>
      </c>
      <c r="C11" s="89">
        <f>138090515.07/7.5345</f>
        <v>18327760.975512639</v>
      </c>
      <c r="D11" s="89">
        <v>24321000</v>
      </c>
      <c r="E11" s="89">
        <v>24321000</v>
      </c>
      <c r="F11" s="89">
        <v>25153683.789999999</v>
      </c>
      <c r="G11" s="90">
        <f>F11/C11*100</f>
        <v>137.2436263415228</v>
      </c>
      <c r="H11" s="90">
        <f>F11/E11*100</f>
        <v>103.42372348998808</v>
      </c>
    </row>
    <row r="12" spans="1:8" ht="13.5" customHeight="1" x14ac:dyDescent="0.25">
      <c r="A12" s="44">
        <v>4</v>
      </c>
      <c r="B12" s="44" t="s">
        <v>104</v>
      </c>
      <c r="C12" s="87">
        <f>C13</f>
        <v>28238517.822018713</v>
      </c>
      <c r="D12" s="87">
        <f t="shared" ref="D12:F12" si="3">D13</f>
        <v>31567600</v>
      </c>
      <c r="E12" s="87">
        <f t="shared" si="3"/>
        <v>31567600</v>
      </c>
      <c r="F12" s="87">
        <f t="shared" si="3"/>
        <v>32504557.979999997</v>
      </c>
      <c r="G12" s="91">
        <f t="shared" ref="G12:G19" si="4">F12/C12*100</f>
        <v>115.10716739762765</v>
      </c>
      <c r="H12" s="91">
        <f t="shared" ref="H12:H16" si="5">F12/E12*100</f>
        <v>102.96810014065052</v>
      </c>
    </row>
    <row r="13" spans="1:8" ht="13.5" customHeight="1" x14ac:dyDescent="0.25">
      <c r="A13" s="105">
        <v>43</v>
      </c>
      <c r="B13" s="105" t="s">
        <v>105</v>
      </c>
      <c r="C13" s="89">
        <f>212763112.53/7.5345</f>
        <v>28238517.822018713</v>
      </c>
      <c r="D13" s="89">
        <v>31567600</v>
      </c>
      <c r="E13" s="89">
        <v>31567600</v>
      </c>
      <c r="F13" s="89">
        <v>32504557.979999997</v>
      </c>
      <c r="G13" s="92">
        <f t="shared" si="4"/>
        <v>115.10716739762765</v>
      </c>
      <c r="H13" s="92">
        <f t="shared" si="5"/>
        <v>102.96810014065052</v>
      </c>
    </row>
    <row r="14" spans="1:8" ht="13.5" customHeight="1" x14ac:dyDescent="0.25">
      <c r="A14" s="44">
        <v>5</v>
      </c>
      <c r="B14" s="44" t="s">
        <v>106</v>
      </c>
      <c r="C14" s="87">
        <f>C15</f>
        <v>35574.445550467841</v>
      </c>
      <c r="D14" s="87">
        <f t="shared" ref="D14:F14" si="6">D15</f>
        <v>125906</v>
      </c>
      <c r="E14" s="87">
        <f t="shared" si="6"/>
        <v>125906</v>
      </c>
      <c r="F14" s="87">
        <f t="shared" si="6"/>
        <v>125923.69</v>
      </c>
      <c r="G14" s="91">
        <f t="shared" si="4"/>
        <v>353.97231931937722</v>
      </c>
      <c r="H14" s="91">
        <f>F14/E14*100</f>
        <v>100.01405016440836</v>
      </c>
    </row>
    <row r="15" spans="1:8" ht="13.5" customHeight="1" x14ac:dyDescent="0.25">
      <c r="A15" s="105">
        <v>52</v>
      </c>
      <c r="B15" s="105" t="s">
        <v>107</v>
      </c>
      <c r="C15" s="89">
        <f>268035.66/7.5345</f>
        <v>35574.445550467841</v>
      </c>
      <c r="D15" s="89">
        <v>125906</v>
      </c>
      <c r="E15" s="89">
        <v>125906</v>
      </c>
      <c r="F15" s="89">
        <v>125923.69</v>
      </c>
      <c r="G15" s="92">
        <f t="shared" si="4"/>
        <v>353.97231931937722</v>
      </c>
      <c r="H15" s="92">
        <f t="shared" si="5"/>
        <v>100.01405016440836</v>
      </c>
    </row>
    <row r="16" spans="1:8" ht="13.5" customHeight="1" x14ac:dyDescent="0.25">
      <c r="A16" s="44">
        <v>6</v>
      </c>
      <c r="B16" s="44" t="s">
        <v>108</v>
      </c>
      <c r="C16" s="87">
        <f>C17</f>
        <v>6698.7497511447345</v>
      </c>
      <c r="D16" s="87">
        <f t="shared" ref="D16:F16" si="7">D17</f>
        <v>20097</v>
      </c>
      <c r="E16" s="87">
        <f t="shared" si="7"/>
        <v>20097</v>
      </c>
      <c r="F16" s="87">
        <f t="shared" si="7"/>
        <v>20096.25</v>
      </c>
      <c r="G16" s="91">
        <f t="shared" si="4"/>
        <v>300.00001114485275</v>
      </c>
      <c r="H16" s="91">
        <f t="shared" si="5"/>
        <v>99.996268099716374</v>
      </c>
    </row>
    <row r="17" spans="1:8" ht="13.5" customHeight="1" x14ac:dyDescent="0.25">
      <c r="A17" s="105">
        <v>61</v>
      </c>
      <c r="B17" s="105" t="s">
        <v>108</v>
      </c>
      <c r="C17" s="89">
        <f>50471.73/7.5345</f>
        <v>6698.7497511447345</v>
      </c>
      <c r="D17" s="89">
        <v>20097</v>
      </c>
      <c r="E17" s="89">
        <v>20097</v>
      </c>
      <c r="F17" s="89">
        <v>20096.25</v>
      </c>
      <c r="G17" s="92">
        <f t="shared" si="4"/>
        <v>300.00001114485275</v>
      </c>
      <c r="H17" s="92">
        <f>F17/E17*100</f>
        <v>99.996268099716374</v>
      </c>
    </row>
    <row r="18" spans="1:8" ht="26.25" customHeight="1" x14ac:dyDescent="0.25">
      <c r="A18" s="44">
        <v>7</v>
      </c>
      <c r="B18" s="44" t="s">
        <v>109</v>
      </c>
      <c r="C18" s="87">
        <f>C19</f>
        <v>12622.469971464596</v>
      </c>
      <c r="D18" s="87">
        <f t="shared" ref="D18:F18" si="8">D19</f>
        <v>0</v>
      </c>
      <c r="E18" s="87">
        <f t="shared" si="8"/>
        <v>0</v>
      </c>
      <c r="F18" s="87">
        <f t="shared" si="8"/>
        <v>0</v>
      </c>
      <c r="G18" s="91">
        <f t="shared" si="4"/>
        <v>0</v>
      </c>
      <c r="H18" s="91"/>
    </row>
    <row r="19" spans="1:8" ht="25.5" x14ac:dyDescent="0.25">
      <c r="A19" s="105">
        <v>71</v>
      </c>
      <c r="B19" s="105" t="s">
        <v>109</v>
      </c>
      <c r="C19" s="89">
        <f>95104/7.5345</f>
        <v>12622.469971464596</v>
      </c>
      <c r="D19" s="89"/>
      <c r="E19" s="89"/>
      <c r="F19" s="89"/>
      <c r="G19" s="92">
        <f t="shared" si="4"/>
        <v>0</v>
      </c>
      <c r="H19" s="92"/>
    </row>
    <row r="20" spans="1:8" ht="13.5" customHeight="1" x14ac:dyDescent="0.25">
      <c r="A20" s="101"/>
      <c r="B20" s="102"/>
      <c r="C20" s="93"/>
      <c r="D20" s="93"/>
      <c r="E20" s="93"/>
      <c r="F20" s="93"/>
      <c r="G20" s="93"/>
      <c r="H20" s="94"/>
    </row>
    <row r="21" spans="1:8" ht="13.5" customHeight="1" x14ac:dyDescent="0.25">
      <c r="A21" s="103" t="s">
        <v>164</v>
      </c>
      <c r="B21" s="104"/>
      <c r="C21" s="95">
        <f>C22+C24+C26+C28+C30</f>
        <v>31699195.598911665</v>
      </c>
      <c r="D21" s="95">
        <f t="shared" ref="D21" si="9">D22+D24+D26+D28+D30</f>
        <v>51685790</v>
      </c>
      <c r="E21" s="95">
        <f t="shared" ref="E21" si="10">E22+E24+E26+E28+E30</f>
        <v>51685790</v>
      </c>
      <c r="F21" s="95">
        <f t="shared" ref="F21" si="11">F22+F24+F26+F28+F30</f>
        <v>41250353.469999999</v>
      </c>
      <c r="G21" s="96">
        <f t="shared" ref="G21:G25" si="12">F21/C21*100</f>
        <v>130.13060013237768</v>
      </c>
      <c r="H21" s="97">
        <f>F21/E21*100</f>
        <v>79.809853868926055</v>
      </c>
    </row>
    <row r="22" spans="1:8" ht="13.5" customHeight="1" x14ac:dyDescent="0.25">
      <c r="A22" s="44">
        <v>3</v>
      </c>
      <c r="B22" s="44" t="s">
        <v>103</v>
      </c>
      <c r="C22" s="87">
        <f>C23</f>
        <v>16377048.982679673</v>
      </c>
      <c r="D22" s="87">
        <f t="shared" ref="D22" si="13">D23</f>
        <v>23899737</v>
      </c>
      <c r="E22" s="87">
        <f t="shared" ref="E22" si="14">E23</f>
        <v>23899737</v>
      </c>
      <c r="F22" s="87">
        <f t="shared" ref="F22" si="15">F23</f>
        <v>21718939.260000002</v>
      </c>
      <c r="G22" s="88">
        <f t="shared" si="12"/>
        <v>132.6181492341502</v>
      </c>
      <c r="H22" s="88">
        <f t="shared" ref="H22:H25" si="16">F22/E22*100</f>
        <v>90.875222852870735</v>
      </c>
    </row>
    <row r="23" spans="1:8" ht="13.5" customHeight="1" x14ac:dyDescent="0.25">
      <c r="A23" s="105">
        <v>31</v>
      </c>
      <c r="B23" s="105" t="s">
        <v>103</v>
      </c>
      <c r="C23" s="89">
        <f>123392875.56/7.5345</f>
        <v>16377048.982679673</v>
      </c>
      <c r="D23" s="89">
        <v>23899737</v>
      </c>
      <c r="E23" s="89">
        <v>23899737</v>
      </c>
      <c r="F23" s="89">
        <v>21718939.260000002</v>
      </c>
      <c r="G23" s="90">
        <f t="shared" si="12"/>
        <v>132.6181492341502</v>
      </c>
      <c r="H23" s="90">
        <f t="shared" si="16"/>
        <v>90.875222852870735</v>
      </c>
    </row>
    <row r="24" spans="1:8" ht="13.5" customHeight="1" x14ac:dyDescent="0.25">
      <c r="A24" s="44">
        <v>4</v>
      </c>
      <c r="B24" s="44" t="s">
        <v>104</v>
      </c>
      <c r="C24" s="87">
        <f>C25</f>
        <v>15220932.560886586</v>
      </c>
      <c r="D24" s="87">
        <f t="shared" ref="D24" si="17">D25</f>
        <v>27640050</v>
      </c>
      <c r="E24" s="87">
        <f t="shared" ref="E24" si="18">E25</f>
        <v>27640050</v>
      </c>
      <c r="F24" s="87">
        <f t="shared" ref="F24" si="19">F25</f>
        <v>19385394.27</v>
      </c>
      <c r="G24" s="91">
        <f t="shared" si="12"/>
        <v>127.36009566072765</v>
      </c>
      <c r="H24" s="91">
        <f t="shared" si="16"/>
        <v>70.135163539863356</v>
      </c>
    </row>
    <row r="25" spans="1:8" ht="13.5" customHeight="1" x14ac:dyDescent="0.25">
      <c r="A25" s="105">
        <v>43</v>
      </c>
      <c r="B25" s="105" t="s">
        <v>105</v>
      </c>
      <c r="C25" s="89">
        <f>114682116.38/7.5345</f>
        <v>15220932.560886586</v>
      </c>
      <c r="D25" s="89">
        <v>27640050</v>
      </c>
      <c r="E25" s="89">
        <v>27640050</v>
      </c>
      <c r="F25" s="89">
        <v>19385394.27</v>
      </c>
      <c r="G25" s="92">
        <f t="shared" si="12"/>
        <v>127.36009566072765</v>
      </c>
      <c r="H25" s="92">
        <f t="shared" si="16"/>
        <v>70.135163539863356</v>
      </c>
    </row>
    <row r="26" spans="1:8" ht="13.5" customHeight="1" x14ac:dyDescent="0.25">
      <c r="A26" s="44">
        <v>5</v>
      </c>
      <c r="B26" s="44" t="s">
        <v>106</v>
      </c>
      <c r="C26" s="87">
        <f>C27</f>
        <v>81892.835622801766</v>
      </c>
      <c r="D26" s="87">
        <f t="shared" ref="D26" si="20">D27</f>
        <v>125906</v>
      </c>
      <c r="E26" s="87">
        <f t="shared" ref="E26" si="21">E27</f>
        <v>125906</v>
      </c>
      <c r="F26" s="87">
        <f t="shared" ref="F26" si="22">F27</f>
        <v>125923.69</v>
      </c>
      <c r="G26" s="91">
        <f t="shared" ref="G26:G28" si="23">F26/C26*100</f>
        <v>153.76643028946299</v>
      </c>
      <c r="H26" s="91">
        <f>F26/E26*100</f>
        <v>100.01405016440836</v>
      </c>
    </row>
    <row r="27" spans="1:8" ht="13.5" customHeight="1" x14ac:dyDescent="0.25">
      <c r="A27" s="100">
        <v>52</v>
      </c>
      <c r="B27" s="105" t="s">
        <v>107</v>
      </c>
      <c r="C27" s="89">
        <f>617021.57/7.5345</f>
        <v>81892.835622801766</v>
      </c>
      <c r="D27" s="89">
        <v>125906</v>
      </c>
      <c r="E27" s="89">
        <v>125906</v>
      </c>
      <c r="F27" s="89">
        <v>125923.69</v>
      </c>
      <c r="G27" s="92">
        <f t="shared" si="23"/>
        <v>153.76643028946299</v>
      </c>
      <c r="H27" s="92">
        <f t="shared" ref="H27:H28" si="24">F27/E27*100</f>
        <v>100.01405016440836</v>
      </c>
    </row>
    <row r="28" spans="1:8" ht="13.5" customHeight="1" x14ac:dyDescent="0.25">
      <c r="A28" s="44">
        <v>6</v>
      </c>
      <c r="B28" s="44" t="s">
        <v>108</v>
      </c>
      <c r="C28" s="87">
        <f>C29</f>
        <v>6698.7497511447345</v>
      </c>
      <c r="D28" s="87">
        <f t="shared" ref="D28" si="25">D29</f>
        <v>20097</v>
      </c>
      <c r="E28" s="87">
        <f t="shared" ref="E28" si="26">E29</f>
        <v>20097</v>
      </c>
      <c r="F28" s="87">
        <f t="shared" ref="F28" si="27">F29</f>
        <v>20096.25</v>
      </c>
      <c r="G28" s="91">
        <f t="shared" si="23"/>
        <v>300.00001114485275</v>
      </c>
      <c r="H28" s="91">
        <f t="shared" si="24"/>
        <v>99.996268099716374</v>
      </c>
    </row>
    <row r="29" spans="1:8" ht="13.5" customHeight="1" x14ac:dyDescent="0.25">
      <c r="A29" s="105">
        <v>61</v>
      </c>
      <c r="B29" s="105" t="s">
        <v>108</v>
      </c>
      <c r="C29" s="89">
        <f>50471.73/7.5345</f>
        <v>6698.7497511447345</v>
      </c>
      <c r="D29" s="89">
        <v>20097</v>
      </c>
      <c r="E29" s="89">
        <v>20097</v>
      </c>
      <c r="F29" s="89">
        <v>20096.25</v>
      </c>
      <c r="G29" s="92">
        <f>F29/C29*100</f>
        <v>300.00001114485275</v>
      </c>
      <c r="H29" s="92">
        <f>F29/E29*100</f>
        <v>99.996268099716374</v>
      </c>
    </row>
    <row r="30" spans="1:8" ht="26.25" customHeight="1" x14ac:dyDescent="0.25">
      <c r="A30" s="44">
        <v>7</v>
      </c>
      <c r="B30" s="44" t="s">
        <v>109</v>
      </c>
      <c r="C30" s="87">
        <f>C31</f>
        <v>12622.469971464596</v>
      </c>
      <c r="D30" s="87">
        <f t="shared" ref="D30:F30" si="28">D31</f>
        <v>0</v>
      </c>
      <c r="E30" s="87">
        <f t="shared" si="28"/>
        <v>0</v>
      </c>
      <c r="F30" s="87">
        <f t="shared" si="28"/>
        <v>0</v>
      </c>
      <c r="G30" s="91">
        <f t="shared" ref="G30:G31" si="29">F30/C30*100</f>
        <v>0</v>
      </c>
      <c r="H30" s="91"/>
    </row>
    <row r="31" spans="1:8" ht="25.5" x14ac:dyDescent="0.25">
      <c r="A31" s="105">
        <v>71</v>
      </c>
      <c r="B31" s="105" t="s">
        <v>109</v>
      </c>
      <c r="C31" s="89">
        <f>95104/7.5345</f>
        <v>12622.469971464596</v>
      </c>
      <c r="D31" s="89"/>
      <c r="E31" s="89"/>
      <c r="F31" s="89"/>
      <c r="G31" s="92">
        <f t="shared" si="29"/>
        <v>0</v>
      </c>
      <c r="H31" s="92"/>
    </row>
    <row r="32" spans="1:8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</sheetData>
  <mergeCells count="6">
    <mergeCell ref="A1:H1"/>
    <mergeCell ref="A3:H3"/>
    <mergeCell ref="A4:H4"/>
    <mergeCell ref="A7:B7"/>
    <mergeCell ref="A8:B8"/>
    <mergeCell ref="A5:H5"/>
  </mergeCells>
  <printOptions horizontalCentered="1"/>
  <pageMargins left="0.11811023622047245" right="0.11811023622047245" top="0.55118110236220474" bottom="0.55118110236220474" header="0.31496062992125984" footer="0.19685039370078741"/>
  <pageSetup paperSize="9" scale="95" orientation="landscape" horizontalDpi="4294967295" verticalDpi="4294967295" r:id="rId1"/>
  <headerFooter>
    <oddFooter>&amp;C&amp;"Arial,Uobičajeno"&amp;9Stranica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view="pageBreakPreview" zoomScaleNormal="100" zoomScaleSheetLayoutView="100" workbookViewId="0">
      <selection activeCell="A5" sqref="A5:H5"/>
    </sheetView>
  </sheetViews>
  <sheetFormatPr defaultRowHeight="15" x14ac:dyDescent="0.25"/>
  <cols>
    <col min="1" max="1" width="8" customWidth="1"/>
    <col min="2" max="2" width="52.140625" customWidth="1"/>
    <col min="3" max="6" width="15.85546875" customWidth="1"/>
  </cols>
  <sheetData>
    <row r="1" spans="1:8" ht="33" customHeight="1" x14ac:dyDescent="0.25">
      <c r="A1" s="111" t="s">
        <v>177</v>
      </c>
      <c r="B1" s="111"/>
      <c r="C1" s="111"/>
      <c r="D1" s="111"/>
      <c r="E1" s="111"/>
      <c r="F1" s="111"/>
      <c r="G1" s="111"/>
      <c r="H1" s="111"/>
    </row>
    <row r="2" spans="1:8" x14ac:dyDescent="0.25">
      <c r="A2" s="3"/>
      <c r="B2" s="3"/>
      <c r="C2" s="3"/>
      <c r="D2" s="3"/>
      <c r="E2" s="3"/>
      <c r="F2" s="3"/>
      <c r="G2" s="3"/>
    </row>
    <row r="3" spans="1:8" x14ac:dyDescent="0.25">
      <c r="A3" s="112" t="s">
        <v>168</v>
      </c>
      <c r="B3" s="112"/>
      <c r="C3" s="112"/>
      <c r="D3" s="112"/>
      <c r="E3" s="112"/>
      <c r="F3" s="112"/>
      <c r="G3" s="112"/>
      <c r="H3" s="112"/>
    </row>
    <row r="4" spans="1:8" ht="33" customHeight="1" x14ac:dyDescent="0.25">
      <c r="A4" s="113" t="s">
        <v>170</v>
      </c>
      <c r="B4" s="113"/>
      <c r="C4" s="113"/>
      <c r="D4" s="113"/>
      <c r="E4" s="113"/>
      <c r="F4" s="113"/>
      <c r="G4" s="113"/>
      <c r="H4" s="113"/>
    </row>
    <row r="5" spans="1:8" x14ac:dyDescent="0.25">
      <c r="A5" s="112" t="s">
        <v>173</v>
      </c>
      <c r="B5" s="112"/>
      <c r="C5" s="112"/>
      <c r="D5" s="112"/>
      <c r="E5" s="112"/>
      <c r="F5" s="112"/>
      <c r="G5" s="112"/>
      <c r="H5" s="112"/>
    </row>
    <row r="7" spans="1:8" ht="39.950000000000003" customHeight="1" x14ac:dyDescent="0.25">
      <c r="A7" s="114" t="s">
        <v>0</v>
      </c>
      <c r="B7" s="115"/>
      <c r="C7" s="15" t="s">
        <v>18</v>
      </c>
      <c r="D7" s="15" t="s">
        <v>19</v>
      </c>
      <c r="E7" s="15" t="s">
        <v>10</v>
      </c>
      <c r="F7" s="15" t="s">
        <v>20</v>
      </c>
      <c r="G7" s="17" t="s">
        <v>1</v>
      </c>
      <c r="H7" s="17" t="s">
        <v>1</v>
      </c>
    </row>
    <row r="8" spans="1:8" ht="11.25" customHeight="1" x14ac:dyDescent="0.25">
      <c r="A8" s="118">
        <v>1</v>
      </c>
      <c r="B8" s="119"/>
      <c r="C8" s="39">
        <v>2</v>
      </c>
      <c r="D8" s="39">
        <v>3</v>
      </c>
      <c r="E8" s="39">
        <v>4</v>
      </c>
      <c r="F8" s="39">
        <v>5</v>
      </c>
      <c r="G8" s="39" t="s">
        <v>15</v>
      </c>
      <c r="H8" s="39" t="s">
        <v>16</v>
      </c>
    </row>
    <row r="9" spans="1:8" ht="13.5" customHeight="1" x14ac:dyDescent="0.25">
      <c r="A9" s="78" t="s">
        <v>162</v>
      </c>
      <c r="B9" s="68"/>
      <c r="C9" s="69">
        <f>C10</f>
        <v>31699195.598911673</v>
      </c>
      <c r="D9" s="69">
        <f t="shared" ref="D9:F10" si="0">D10</f>
        <v>51685790</v>
      </c>
      <c r="E9" s="69">
        <f t="shared" si="0"/>
        <v>51685790</v>
      </c>
      <c r="F9" s="69">
        <f t="shared" si="0"/>
        <v>41250353.469999999</v>
      </c>
      <c r="G9" s="66">
        <f>F9/C9*100</f>
        <v>130.13060013237762</v>
      </c>
      <c r="H9" s="67">
        <f>F9/E9*100</f>
        <v>79.809853868926055</v>
      </c>
    </row>
    <row r="10" spans="1:8" ht="13.5" customHeight="1" x14ac:dyDescent="0.25">
      <c r="A10" s="76" t="s">
        <v>101</v>
      </c>
      <c r="B10" s="62" t="s">
        <v>99</v>
      </c>
      <c r="C10" s="23">
        <f>C11</f>
        <v>31699195.598911673</v>
      </c>
      <c r="D10" s="23">
        <f t="shared" si="0"/>
        <v>51685790</v>
      </c>
      <c r="E10" s="23">
        <f t="shared" si="0"/>
        <v>51685790</v>
      </c>
      <c r="F10" s="23">
        <f t="shared" si="0"/>
        <v>41250353.469999999</v>
      </c>
      <c r="G10" s="24">
        <f>F10/C10*100</f>
        <v>130.13060013237762</v>
      </c>
      <c r="H10" s="25">
        <f>F10/E10*100</f>
        <v>79.809853868926055</v>
      </c>
    </row>
    <row r="11" spans="1:8" ht="13.5" customHeight="1" x14ac:dyDescent="0.25">
      <c r="A11" s="77" t="s">
        <v>102</v>
      </c>
      <c r="B11" s="70" t="s">
        <v>100</v>
      </c>
      <c r="C11" s="40">
        <f>238837589.24/7.5345</f>
        <v>31699195.598911673</v>
      </c>
      <c r="D11" s="40">
        <v>51685790</v>
      </c>
      <c r="E11" s="40">
        <v>51685790</v>
      </c>
      <c r="F11" s="40">
        <v>41250353.469999999</v>
      </c>
      <c r="G11" s="41">
        <f t="shared" ref="G11" si="1">F11/C11*100</f>
        <v>130.13060013237762</v>
      </c>
      <c r="H11" s="42">
        <f t="shared" ref="H11" si="2">F11/E11*100</f>
        <v>79.809853868926055</v>
      </c>
    </row>
    <row r="12" spans="1:8" ht="13.5" customHeight="1" x14ac:dyDescent="0.25"/>
    <row r="13" spans="1:8" ht="13.5" customHeight="1" x14ac:dyDescent="0.25"/>
    <row r="14" spans="1:8" ht="13.5" customHeight="1" x14ac:dyDescent="0.25"/>
    <row r="15" spans="1:8" ht="13.5" customHeight="1" x14ac:dyDescent="0.25"/>
    <row r="16" spans="1:8" ht="13.5" customHeight="1" x14ac:dyDescent="0.25"/>
    <row r="17" ht="13.5" customHeight="1" x14ac:dyDescent="0.25"/>
    <row r="18" ht="13.5" customHeight="1" x14ac:dyDescent="0.25"/>
    <row r="19" ht="13.5" customHeight="1" x14ac:dyDescent="0.25"/>
  </sheetData>
  <mergeCells count="6">
    <mergeCell ref="A1:H1"/>
    <mergeCell ref="A3:H3"/>
    <mergeCell ref="A4:H4"/>
    <mergeCell ref="A7:B7"/>
    <mergeCell ref="A8:B8"/>
    <mergeCell ref="A5:H5"/>
  </mergeCells>
  <printOptions horizontalCentered="1"/>
  <pageMargins left="0.11811023622047245" right="0.11811023622047245" top="0.55118110236220474" bottom="0.55118110236220474" header="0.31496062992125984" footer="0.19685039370078741"/>
  <pageSetup paperSize="9" scale="95" orientation="landscape" horizontalDpi="4294967295" verticalDpi="4294967295" r:id="rId1"/>
  <headerFooter>
    <oddFooter>&amp;CStranica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showGridLines="0" view="pageBreakPreview" zoomScaleNormal="100" zoomScaleSheetLayoutView="100" workbookViewId="0">
      <pane ySplit="15" topLeftCell="A16" activePane="bottomLeft" state="frozen"/>
      <selection pane="bottomLeft" activeCell="A3" sqref="A3:F3"/>
    </sheetView>
  </sheetViews>
  <sheetFormatPr defaultRowHeight="14.25" x14ac:dyDescent="0.2"/>
  <cols>
    <col min="1" max="1" width="10.7109375" style="26" customWidth="1"/>
    <col min="2" max="2" width="70.7109375" style="26" customWidth="1"/>
    <col min="3" max="5" width="15.85546875" style="26" customWidth="1"/>
    <col min="6" max="16384" width="9.140625" style="26"/>
  </cols>
  <sheetData>
    <row r="1" spans="1:6" ht="33" customHeight="1" x14ac:dyDescent="0.2">
      <c r="A1" s="111" t="s">
        <v>177</v>
      </c>
      <c r="B1" s="111"/>
      <c r="C1" s="111"/>
      <c r="D1" s="111"/>
      <c r="E1" s="111"/>
      <c r="F1" s="111"/>
    </row>
    <row r="2" spans="1:6" x14ac:dyDescent="0.2">
      <c r="A2" s="27"/>
      <c r="B2" s="27"/>
      <c r="C2" s="28"/>
      <c r="D2" s="28"/>
      <c r="E2" s="28"/>
    </row>
    <row r="3" spans="1:6" ht="15" x14ac:dyDescent="0.25">
      <c r="A3" s="112" t="s">
        <v>174</v>
      </c>
      <c r="B3" s="112"/>
      <c r="C3" s="112"/>
      <c r="D3" s="112"/>
      <c r="E3" s="112"/>
      <c r="F3" s="112"/>
    </row>
    <row r="4" spans="1:6" ht="15" x14ac:dyDescent="0.2">
      <c r="A4" s="113"/>
      <c r="B4" s="113"/>
      <c r="C4" s="113"/>
      <c r="D4" s="113"/>
      <c r="E4" s="113"/>
      <c r="F4" s="113"/>
    </row>
    <row r="5" spans="1:6" ht="15" x14ac:dyDescent="0.25">
      <c r="A5" s="112" t="s">
        <v>175</v>
      </c>
      <c r="B5" s="112"/>
      <c r="C5" s="112"/>
      <c r="D5" s="112"/>
      <c r="E5" s="112"/>
      <c r="F5" s="112"/>
    </row>
    <row r="7" spans="1:6" ht="39.950000000000003" customHeight="1" x14ac:dyDescent="0.2">
      <c r="A7" s="114" t="s">
        <v>0</v>
      </c>
      <c r="B7" s="115"/>
      <c r="C7" s="15" t="s">
        <v>19</v>
      </c>
      <c r="D7" s="15" t="s">
        <v>10</v>
      </c>
      <c r="E7" s="15" t="s">
        <v>20</v>
      </c>
      <c r="F7" s="17" t="s">
        <v>1</v>
      </c>
    </row>
    <row r="8" spans="1:6" ht="11.25" customHeight="1" x14ac:dyDescent="0.2">
      <c r="A8" s="118">
        <v>1</v>
      </c>
      <c r="B8" s="119"/>
      <c r="C8" s="39">
        <v>2</v>
      </c>
      <c r="D8" s="39">
        <v>3</v>
      </c>
      <c r="E8" s="39">
        <v>4</v>
      </c>
      <c r="F8" s="39" t="s">
        <v>17</v>
      </c>
    </row>
    <row r="9" spans="1:6" ht="13.5" customHeight="1" x14ac:dyDescent="0.2">
      <c r="A9" s="68">
        <v>22218</v>
      </c>
      <c r="B9" s="68" t="s">
        <v>22</v>
      </c>
      <c r="C9" s="69">
        <v>51685790</v>
      </c>
      <c r="D9" s="69">
        <v>51685790</v>
      </c>
      <c r="E9" s="69">
        <v>41250353.469999999</v>
      </c>
      <c r="F9" s="67">
        <f>E9/D9*100</f>
        <v>79.809853868926055</v>
      </c>
    </row>
    <row r="10" spans="1:6" ht="13.5" customHeight="1" x14ac:dyDescent="0.2">
      <c r="A10" s="44">
        <v>31</v>
      </c>
      <c r="B10" s="44" t="s">
        <v>95</v>
      </c>
      <c r="C10" s="21">
        <f>C16</f>
        <v>23899737</v>
      </c>
      <c r="D10" s="21">
        <f t="shared" ref="D10:E10" si="0">D16</f>
        <v>23899737</v>
      </c>
      <c r="E10" s="21">
        <f t="shared" si="0"/>
        <v>21718939.259999998</v>
      </c>
      <c r="F10" s="22">
        <f t="shared" ref="F10:F11" si="1">E10/D10*100</f>
        <v>90.875222852870721</v>
      </c>
    </row>
    <row r="11" spans="1:6" ht="13.5" customHeight="1" x14ac:dyDescent="0.2">
      <c r="A11" s="44">
        <v>43</v>
      </c>
      <c r="B11" s="44" t="s">
        <v>96</v>
      </c>
      <c r="C11" s="21">
        <f>C67</f>
        <v>27640050</v>
      </c>
      <c r="D11" s="21">
        <f t="shared" ref="D11:E11" si="2">D67</f>
        <v>27640050</v>
      </c>
      <c r="E11" s="21">
        <f t="shared" si="2"/>
        <v>19385394.269999996</v>
      </c>
      <c r="F11" s="22">
        <f t="shared" si="1"/>
        <v>70.135163539863328</v>
      </c>
    </row>
    <row r="12" spans="1:6" ht="13.5" customHeight="1" x14ac:dyDescent="0.2">
      <c r="A12" s="44">
        <v>52</v>
      </c>
      <c r="B12" s="44" t="s">
        <v>97</v>
      </c>
      <c r="C12" s="21">
        <f>C140</f>
        <v>125906</v>
      </c>
      <c r="D12" s="21">
        <f t="shared" ref="D12:E12" si="3">D140</f>
        <v>125906</v>
      </c>
      <c r="E12" s="21">
        <f t="shared" si="3"/>
        <v>125923.68999999999</v>
      </c>
      <c r="F12" s="22">
        <f t="shared" ref="F12:F13" si="4">E12/D12*100</f>
        <v>100.01405016440836</v>
      </c>
    </row>
    <row r="13" spans="1:6" ht="13.5" customHeight="1" x14ac:dyDescent="0.2">
      <c r="A13" s="44">
        <v>61</v>
      </c>
      <c r="B13" s="44" t="s">
        <v>98</v>
      </c>
      <c r="C13" s="21">
        <f>C146</f>
        <v>20097</v>
      </c>
      <c r="D13" s="21">
        <f t="shared" ref="D13:E13" si="5">D146</f>
        <v>20097</v>
      </c>
      <c r="E13" s="21">
        <f t="shared" si="5"/>
        <v>20096.25</v>
      </c>
      <c r="F13" s="22">
        <f t="shared" si="4"/>
        <v>99.996268099716374</v>
      </c>
    </row>
    <row r="14" spans="1:6" ht="13.5" customHeight="1" x14ac:dyDescent="0.2">
      <c r="A14" s="63">
        <v>3401</v>
      </c>
      <c r="B14" s="63" t="s">
        <v>160</v>
      </c>
      <c r="C14" s="64">
        <f>SUM(C10:C13)</f>
        <v>51685790</v>
      </c>
      <c r="D14" s="64">
        <f t="shared" ref="D14:E14" si="6">SUM(D10:D13)</f>
        <v>51685790</v>
      </c>
      <c r="E14" s="64">
        <f t="shared" si="6"/>
        <v>41250353.469999991</v>
      </c>
      <c r="F14" s="65">
        <f t="shared" ref="F14:F16" si="7">E14/D14*100</f>
        <v>79.809853868926055</v>
      </c>
    </row>
    <row r="15" spans="1:6" ht="13.5" customHeight="1" x14ac:dyDescent="0.2">
      <c r="A15" s="50" t="s">
        <v>21</v>
      </c>
      <c r="B15" s="50" t="s">
        <v>161</v>
      </c>
      <c r="C15" s="51">
        <f>C17+C22+C49+C54+C64+C68+C74+C101+C105+C107+C112+C114+C120+C124+C137+C141+C143+C147</f>
        <v>51685790</v>
      </c>
      <c r="D15" s="51">
        <f>D17+D22+D49+D54+D64+D68+D74+D101+D105+D107+D112+D114+D120+D124+D137+D141+D143+D147</f>
        <v>51685790</v>
      </c>
      <c r="E15" s="51">
        <f>E17+E22+E49+E54+E64+E68+E74+E101+E105+E107+E112+E114+E120+E124+E137+E141+E143+E147</f>
        <v>41250353.469999991</v>
      </c>
      <c r="F15" s="52">
        <f t="shared" si="7"/>
        <v>79.809853868926055</v>
      </c>
    </row>
    <row r="16" spans="1:6" ht="13.5" customHeight="1" x14ac:dyDescent="0.2">
      <c r="A16" s="44">
        <v>31</v>
      </c>
      <c r="B16" s="44" t="s">
        <v>95</v>
      </c>
      <c r="C16" s="21">
        <f>C17+C22+C49+C54+C64</f>
        <v>23899737</v>
      </c>
      <c r="D16" s="21">
        <f t="shared" ref="D16" si="8">D17+D22+D49+D54+D64</f>
        <v>23899737</v>
      </c>
      <c r="E16" s="21">
        <f>E17+E22+E49+E54+E64</f>
        <v>21718939.259999998</v>
      </c>
      <c r="F16" s="22">
        <f t="shared" si="7"/>
        <v>90.875222852870721</v>
      </c>
    </row>
    <row r="17" spans="1:6" ht="13.5" customHeight="1" x14ac:dyDescent="0.2">
      <c r="A17" s="45">
        <v>31</v>
      </c>
      <c r="B17" s="45" t="s">
        <v>23</v>
      </c>
      <c r="C17" s="31">
        <v>11073014</v>
      </c>
      <c r="D17" s="31">
        <v>11073014</v>
      </c>
      <c r="E17" s="31">
        <f>SUM(E18:E21)</f>
        <v>10570508.639999999</v>
      </c>
      <c r="F17" s="31">
        <f>E17/D17*100</f>
        <v>95.461891766776404</v>
      </c>
    </row>
    <row r="18" spans="1:6" s="1" customFormat="1" ht="13.5" customHeight="1" x14ac:dyDescent="0.2">
      <c r="A18" s="60">
        <v>3111</v>
      </c>
      <c r="B18" s="47" t="s">
        <v>24</v>
      </c>
      <c r="C18" s="30"/>
      <c r="D18" s="30"/>
      <c r="E18" s="30">
        <v>7936453.9400000004</v>
      </c>
      <c r="F18" s="30"/>
    </row>
    <row r="19" spans="1:6" s="1" customFormat="1" ht="13.5" customHeight="1" x14ac:dyDescent="0.2">
      <c r="A19" s="60">
        <v>3112</v>
      </c>
      <c r="B19" s="47" t="s">
        <v>25</v>
      </c>
      <c r="C19" s="30"/>
      <c r="D19" s="30"/>
      <c r="E19" s="30">
        <v>343577.89</v>
      </c>
      <c r="F19" s="30"/>
    </row>
    <row r="20" spans="1:6" s="1" customFormat="1" ht="13.5" customHeight="1" x14ac:dyDescent="0.2">
      <c r="A20" s="60">
        <v>3121</v>
      </c>
      <c r="B20" s="47" t="s">
        <v>26</v>
      </c>
      <c r="C20" s="30"/>
      <c r="D20" s="30"/>
      <c r="E20" s="30">
        <v>992533.28</v>
      </c>
      <c r="F20" s="30"/>
    </row>
    <row r="21" spans="1:6" s="1" customFormat="1" ht="13.5" customHeight="1" x14ac:dyDescent="0.2">
      <c r="A21" s="60">
        <v>3132</v>
      </c>
      <c r="B21" s="47" t="s">
        <v>27</v>
      </c>
      <c r="C21" s="30"/>
      <c r="D21" s="30"/>
      <c r="E21" s="30">
        <v>1297943.53</v>
      </c>
      <c r="F21" s="30"/>
    </row>
    <row r="22" spans="1:6" s="1" customFormat="1" ht="13.5" customHeight="1" x14ac:dyDescent="0.2">
      <c r="A22" s="45">
        <v>32</v>
      </c>
      <c r="B22" s="45" t="s">
        <v>28</v>
      </c>
      <c r="C22" s="31">
        <v>11067922</v>
      </c>
      <c r="D22" s="31">
        <v>11067922</v>
      </c>
      <c r="E22" s="31">
        <f>SUM(E23:E48)</f>
        <v>9674027.9199999999</v>
      </c>
      <c r="F22" s="31">
        <f>E22/D22*100</f>
        <v>87.406000150705793</v>
      </c>
    </row>
    <row r="23" spans="1:6" s="1" customFormat="1" ht="13.5" customHeight="1" x14ac:dyDescent="0.2">
      <c r="A23" s="60">
        <v>3211</v>
      </c>
      <c r="B23" s="47" t="s">
        <v>29</v>
      </c>
      <c r="C23" s="30"/>
      <c r="D23" s="30"/>
      <c r="E23" s="30">
        <v>10801.33</v>
      </c>
      <c r="F23" s="30"/>
    </row>
    <row r="24" spans="1:6" s="1" customFormat="1" ht="13.5" customHeight="1" x14ac:dyDescent="0.2">
      <c r="A24" s="61">
        <v>3212</v>
      </c>
      <c r="B24" s="48" t="s">
        <v>30</v>
      </c>
      <c r="C24" s="30"/>
      <c r="D24" s="30"/>
      <c r="E24" s="30">
        <v>164433.96</v>
      </c>
      <c r="F24" s="30"/>
    </row>
    <row r="25" spans="1:6" s="1" customFormat="1" ht="13.5" customHeight="1" x14ac:dyDescent="0.2">
      <c r="A25" s="60">
        <v>3213</v>
      </c>
      <c r="B25" s="47" t="s">
        <v>31</v>
      </c>
      <c r="C25" s="30"/>
      <c r="D25" s="30"/>
      <c r="E25" s="30">
        <v>75970.66</v>
      </c>
      <c r="F25" s="30"/>
    </row>
    <row r="26" spans="1:6" s="1" customFormat="1" ht="13.5" hidden="1" customHeight="1" x14ac:dyDescent="0.2">
      <c r="A26" s="60">
        <v>3214</v>
      </c>
      <c r="B26" s="47" t="s">
        <v>32</v>
      </c>
      <c r="C26" s="30"/>
      <c r="D26" s="30"/>
      <c r="E26" s="32"/>
      <c r="F26" s="30"/>
    </row>
    <row r="27" spans="1:6" s="1" customFormat="1" ht="13.5" customHeight="1" x14ac:dyDescent="0.2">
      <c r="A27" s="60">
        <v>3221</v>
      </c>
      <c r="B27" s="47" t="s">
        <v>33</v>
      </c>
      <c r="C27" s="30"/>
      <c r="D27" s="30"/>
      <c r="E27" s="30">
        <v>402532.67</v>
      </c>
      <c r="F27" s="30"/>
    </row>
    <row r="28" spans="1:6" s="1" customFormat="1" ht="13.5" customHeight="1" x14ac:dyDescent="0.2">
      <c r="A28" s="60">
        <v>3222</v>
      </c>
      <c r="B28" s="47" t="s">
        <v>34</v>
      </c>
      <c r="C28" s="30"/>
      <c r="D28" s="30"/>
      <c r="E28" s="30">
        <v>5513258.75</v>
      </c>
      <c r="F28" s="30"/>
    </row>
    <row r="29" spans="1:6" s="1" customFormat="1" ht="13.5" customHeight="1" x14ac:dyDescent="0.2">
      <c r="A29" s="60">
        <v>3223</v>
      </c>
      <c r="B29" s="47" t="s">
        <v>35</v>
      </c>
      <c r="C29" s="30"/>
      <c r="D29" s="30"/>
      <c r="E29" s="30">
        <v>475425.45</v>
      </c>
      <c r="F29" s="30"/>
    </row>
    <row r="30" spans="1:6" s="1" customFormat="1" ht="13.5" customHeight="1" x14ac:dyDescent="0.2">
      <c r="A30" s="61">
        <v>3224</v>
      </c>
      <c r="B30" s="48" t="s">
        <v>36</v>
      </c>
      <c r="C30" s="30"/>
      <c r="D30" s="30"/>
      <c r="E30" s="30">
        <v>125514.87</v>
      </c>
      <c r="F30" s="30"/>
    </row>
    <row r="31" spans="1:6" s="1" customFormat="1" ht="13.5" customHeight="1" x14ac:dyDescent="0.2">
      <c r="A31" s="60">
        <v>3225</v>
      </c>
      <c r="B31" s="47" t="s">
        <v>37</v>
      </c>
      <c r="C31" s="30"/>
      <c r="D31" s="30"/>
      <c r="E31" s="30">
        <v>114208.67</v>
      </c>
      <c r="F31" s="30"/>
    </row>
    <row r="32" spans="1:6" s="1" customFormat="1" ht="13.5" hidden="1" customHeight="1" x14ac:dyDescent="0.2">
      <c r="A32" s="60">
        <v>3227</v>
      </c>
      <c r="B32" s="47" t="s">
        <v>38</v>
      </c>
      <c r="C32" s="30"/>
      <c r="D32" s="30"/>
      <c r="E32" s="30"/>
      <c r="F32" s="30"/>
    </row>
    <row r="33" spans="1:6" s="1" customFormat="1" ht="13.5" customHeight="1" x14ac:dyDescent="0.2">
      <c r="A33" s="60">
        <v>3231</v>
      </c>
      <c r="B33" s="47" t="s">
        <v>39</v>
      </c>
      <c r="C33" s="30"/>
      <c r="D33" s="30"/>
      <c r="E33" s="30">
        <v>1332.83</v>
      </c>
      <c r="F33" s="30"/>
    </row>
    <row r="34" spans="1:6" s="1" customFormat="1" ht="13.5" customHeight="1" x14ac:dyDescent="0.2">
      <c r="A34" s="60">
        <v>3232</v>
      </c>
      <c r="B34" s="47" t="s">
        <v>40</v>
      </c>
      <c r="C34" s="30"/>
      <c r="D34" s="30"/>
      <c r="E34" s="30">
        <v>228036.7</v>
      </c>
      <c r="F34" s="30"/>
    </row>
    <row r="35" spans="1:6" s="1" customFormat="1" ht="13.5" customHeight="1" x14ac:dyDescent="0.2">
      <c r="A35" s="60">
        <v>3233</v>
      </c>
      <c r="B35" s="47" t="s">
        <v>41</v>
      </c>
      <c r="C35" s="30"/>
      <c r="D35" s="30"/>
      <c r="E35" s="30">
        <v>17770.099999999999</v>
      </c>
      <c r="F35" s="30"/>
    </row>
    <row r="36" spans="1:6" s="1" customFormat="1" ht="13.5" customHeight="1" x14ac:dyDescent="0.2">
      <c r="A36" s="60">
        <v>3234</v>
      </c>
      <c r="B36" s="47" t="s">
        <v>42</v>
      </c>
      <c r="C36" s="30"/>
      <c r="D36" s="30"/>
      <c r="E36" s="30">
        <v>313290.14</v>
      </c>
      <c r="F36" s="30"/>
    </row>
    <row r="37" spans="1:6" s="1" customFormat="1" ht="13.5" customHeight="1" x14ac:dyDescent="0.2">
      <c r="A37" s="60">
        <v>3235</v>
      </c>
      <c r="B37" s="47" t="s">
        <v>43</v>
      </c>
      <c r="C37" s="30"/>
      <c r="D37" s="30"/>
      <c r="E37" s="30">
        <v>5360</v>
      </c>
      <c r="F37" s="30"/>
    </row>
    <row r="38" spans="1:6" s="1" customFormat="1" ht="13.5" customHeight="1" x14ac:dyDescent="0.2">
      <c r="A38" s="60">
        <v>3236</v>
      </c>
      <c r="B38" s="47" t="s">
        <v>44</v>
      </c>
      <c r="C38" s="30"/>
      <c r="D38" s="30"/>
      <c r="E38" s="30">
        <v>69092.31</v>
      </c>
      <c r="F38" s="30"/>
    </row>
    <row r="39" spans="1:6" s="1" customFormat="1" ht="13.5" customHeight="1" x14ac:dyDescent="0.2">
      <c r="A39" s="60">
        <v>3237</v>
      </c>
      <c r="B39" s="47" t="s">
        <v>45</v>
      </c>
      <c r="C39" s="30"/>
      <c r="D39" s="30"/>
      <c r="E39" s="30">
        <v>180828.86</v>
      </c>
      <c r="F39" s="30"/>
    </row>
    <row r="40" spans="1:6" s="1" customFormat="1" ht="13.5" customHeight="1" x14ac:dyDescent="0.2">
      <c r="A40" s="60">
        <v>3238</v>
      </c>
      <c r="B40" s="47" t="s">
        <v>46</v>
      </c>
      <c r="C40" s="30"/>
      <c r="D40" s="30"/>
      <c r="E40" s="30">
        <v>438.68</v>
      </c>
      <c r="F40" s="30"/>
    </row>
    <row r="41" spans="1:6" s="1" customFormat="1" ht="13.5" customHeight="1" x14ac:dyDescent="0.2">
      <c r="A41" s="60">
        <v>3239</v>
      </c>
      <c r="B41" s="47" t="s">
        <v>47</v>
      </c>
      <c r="C41" s="30"/>
      <c r="D41" s="30"/>
      <c r="E41" s="30">
        <v>5201.8999999999996</v>
      </c>
      <c r="F41" s="30"/>
    </row>
    <row r="42" spans="1:6" s="1" customFormat="1" ht="13.5" customHeight="1" x14ac:dyDescent="0.2">
      <c r="A42" s="60">
        <v>3241</v>
      </c>
      <c r="B42" s="47" t="s">
        <v>48</v>
      </c>
      <c r="C42" s="32"/>
      <c r="D42" s="32"/>
      <c r="E42" s="30">
        <v>18150.11</v>
      </c>
      <c r="F42" s="30"/>
    </row>
    <row r="43" spans="1:6" s="1" customFormat="1" ht="13.5" customHeight="1" x14ac:dyDescent="0.2">
      <c r="A43" s="60">
        <v>3292</v>
      </c>
      <c r="B43" s="47" t="s">
        <v>50</v>
      </c>
      <c r="C43" s="30"/>
      <c r="D43" s="30"/>
      <c r="E43" s="30">
        <v>2527.92</v>
      </c>
      <c r="F43" s="30"/>
    </row>
    <row r="44" spans="1:6" s="1" customFormat="1" ht="13.5" customHeight="1" x14ac:dyDescent="0.2">
      <c r="A44" s="60">
        <v>3293</v>
      </c>
      <c r="B44" s="47" t="s">
        <v>51</v>
      </c>
      <c r="C44" s="30"/>
      <c r="D44" s="30"/>
      <c r="E44" s="30">
        <v>50.25</v>
      </c>
      <c r="F44" s="30"/>
    </row>
    <row r="45" spans="1:6" s="1" customFormat="1" ht="13.5" customHeight="1" x14ac:dyDescent="0.2">
      <c r="A45" s="60">
        <v>3294</v>
      </c>
      <c r="B45" s="47" t="s">
        <v>52</v>
      </c>
      <c r="C45" s="30"/>
      <c r="D45" s="30"/>
      <c r="E45" s="30">
        <v>2073.2199999999998</v>
      </c>
      <c r="F45" s="30"/>
    </row>
    <row r="46" spans="1:6" s="1" customFormat="1" ht="13.5" customHeight="1" x14ac:dyDescent="0.2">
      <c r="A46" s="60">
        <v>3295</v>
      </c>
      <c r="B46" s="47" t="s">
        <v>53</v>
      </c>
      <c r="C46" s="30"/>
      <c r="D46" s="30"/>
      <c r="E46" s="30">
        <v>615141.92000000004</v>
      </c>
      <c r="F46" s="30"/>
    </row>
    <row r="47" spans="1:6" s="1" customFormat="1" ht="13.5" hidden="1" customHeight="1" x14ac:dyDescent="0.2">
      <c r="A47" s="60">
        <v>3296</v>
      </c>
      <c r="B47" s="47" t="s">
        <v>54</v>
      </c>
      <c r="C47" s="30"/>
      <c r="D47" s="30"/>
      <c r="E47" s="30"/>
      <c r="F47" s="30"/>
    </row>
    <row r="48" spans="1:6" s="1" customFormat="1" ht="13.5" customHeight="1" x14ac:dyDescent="0.2">
      <c r="A48" s="60">
        <v>3299</v>
      </c>
      <c r="B48" s="47" t="s">
        <v>49</v>
      </c>
      <c r="C48" s="30"/>
      <c r="D48" s="30"/>
      <c r="E48" s="30">
        <v>1332586.6200000001</v>
      </c>
      <c r="F48" s="30"/>
    </row>
    <row r="49" spans="1:6" s="1" customFormat="1" ht="13.5" customHeight="1" x14ac:dyDescent="0.2">
      <c r="A49" s="45">
        <v>34</v>
      </c>
      <c r="B49" s="45" t="s">
        <v>55</v>
      </c>
      <c r="C49" s="31">
        <v>1500</v>
      </c>
      <c r="D49" s="31">
        <v>1500</v>
      </c>
      <c r="E49" s="31">
        <f>SUM(E50:E53)</f>
        <v>1226.08</v>
      </c>
      <c r="F49" s="31">
        <f>E49/D49*100</f>
        <v>81.73866666666666</v>
      </c>
    </row>
    <row r="50" spans="1:6" s="1" customFormat="1" ht="13.5" hidden="1" customHeight="1" x14ac:dyDescent="0.2">
      <c r="A50" s="60">
        <v>3431</v>
      </c>
      <c r="B50" s="47" t="s">
        <v>56</v>
      </c>
      <c r="C50" s="30"/>
      <c r="D50" s="30"/>
      <c r="E50" s="30"/>
      <c r="F50" s="30"/>
    </row>
    <row r="51" spans="1:6" s="1" customFormat="1" ht="12.75" x14ac:dyDescent="0.2">
      <c r="A51" s="60">
        <v>3432</v>
      </c>
      <c r="B51" s="47" t="s">
        <v>57</v>
      </c>
      <c r="C51" s="30"/>
      <c r="D51" s="30"/>
      <c r="E51" s="30">
        <v>1226.08</v>
      </c>
      <c r="F51" s="30"/>
    </row>
    <row r="52" spans="1:6" s="1" customFormat="1" ht="13.5" hidden="1" customHeight="1" x14ac:dyDescent="0.2">
      <c r="A52" s="60">
        <v>3433</v>
      </c>
      <c r="B52" s="47" t="s">
        <v>58</v>
      </c>
      <c r="C52" s="30"/>
      <c r="D52" s="30"/>
      <c r="E52" s="30"/>
      <c r="F52" s="30"/>
    </row>
    <row r="53" spans="1:6" s="1" customFormat="1" ht="13.5" hidden="1" customHeight="1" x14ac:dyDescent="0.2">
      <c r="A53" s="60">
        <v>3434</v>
      </c>
      <c r="B53" s="47" t="s">
        <v>59</v>
      </c>
      <c r="C53" s="30"/>
      <c r="D53" s="30"/>
      <c r="E53" s="32"/>
      <c r="F53" s="30"/>
    </row>
    <row r="54" spans="1:6" s="1" customFormat="1" ht="13.5" customHeight="1" x14ac:dyDescent="0.2">
      <c r="A54" s="45">
        <v>42</v>
      </c>
      <c r="B54" s="45" t="s">
        <v>60</v>
      </c>
      <c r="C54" s="31">
        <v>237630</v>
      </c>
      <c r="D54" s="31">
        <v>237630</v>
      </c>
      <c r="E54" s="31">
        <f>SUM(E55:E63)</f>
        <v>198462.35</v>
      </c>
      <c r="F54" s="31">
        <f>E54/D54*100</f>
        <v>83.51737996044271</v>
      </c>
    </row>
    <row r="55" spans="1:6" s="1" customFormat="1" ht="13.5" customHeight="1" x14ac:dyDescent="0.2">
      <c r="A55" s="60">
        <v>4214</v>
      </c>
      <c r="B55" s="47" t="s">
        <v>159</v>
      </c>
      <c r="C55" s="30"/>
      <c r="D55" s="30"/>
      <c r="E55" s="30">
        <v>25800</v>
      </c>
      <c r="F55" s="30"/>
    </row>
    <row r="56" spans="1:6" s="1" customFormat="1" ht="13.5" customHeight="1" x14ac:dyDescent="0.2">
      <c r="A56" s="60">
        <v>4221</v>
      </c>
      <c r="B56" s="47" t="s">
        <v>61</v>
      </c>
      <c r="C56" s="30"/>
      <c r="D56" s="30"/>
      <c r="E56" s="30">
        <v>33607.980000000003</v>
      </c>
      <c r="F56" s="30"/>
    </row>
    <row r="57" spans="1:6" s="1" customFormat="1" ht="13.5" customHeight="1" x14ac:dyDescent="0.2">
      <c r="A57" s="60">
        <v>4222</v>
      </c>
      <c r="B57" s="47" t="s">
        <v>62</v>
      </c>
      <c r="C57" s="30"/>
      <c r="D57" s="30"/>
      <c r="E57" s="30">
        <v>2184.96</v>
      </c>
      <c r="F57" s="30"/>
    </row>
    <row r="58" spans="1:6" s="1" customFormat="1" ht="13.5" customHeight="1" x14ac:dyDescent="0.2">
      <c r="A58" s="60">
        <v>4223</v>
      </c>
      <c r="B58" s="47" t="s">
        <v>63</v>
      </c>
      <c r="C58" s="30"/>
      <c r="D58" s="30"/>
      <c r="E58" s="30">
        <v>15809</v>
      </c>
      <c r="F58" s="30"/>
    </row>
    <row r="59" spans="1:6" s="1" customFormat="1" ht="13.5" hidden="1" customHeight="1" x14ac:dyDescent="0.2">
      <c r="A59" s="60">
        <v>4224</v>
      </c>
      <c r="B59" s="47" t="s">
        <v>64</v>
      </c>
      <c r="C59" s="30"/>
      <c r="D59" s="30"/>
      <c r="E59" s="30"/>
      <c r="F59" s="30"/>
    </row>
    <row r="60" spans="1:6" s="1" customFormat="1" ht="13.5" customHeight="1" x14ac:dyDescent="0.2">
      <c r="A60" s="60">
        <v>4225</v>
      </c>
      <c r="B60" s="47" t="s">
        <v>65</v>
      </c>
      <c r="C60" s="30"/>
      <c r="D60" s="30"/>
      <c r="E60" s="30">
        <v>960</v>
      </c>
      <c r="F60" s="30"/>
    </row>
    <row r="61" spans="1:6" s="1" customFormat="1" ht="13.5" hidden="1" customHeight="1" x14ac:dyDescent="0.2">
      <c r="A61" s="60">
        <v>4226</v>
      </c>
      <c r="B61" s="47" t="s">
        <v>66</v>
      </c>
      <c r="C61" s="30"/>
      <c r="D61" s="30"/>
      <c r="E61" s="30"/>
      <c r="F61" s="30"/>
    </row>
    <row r="62" spans="1:6" s="1" customFormat="1" ht="13.5" customHeight="1" x14ac:dyDescent="0.2">
      <c r="A62" s="60">
        <v>4227</v>
      </c>
      <c r="B62" s="47" t="s">
        <v>67</v>
      </c>
      <c r="C62" s="30"/>
      <c r="D62" s="30"/>
      <c r="E62" s="30">
        <v>90592.59</v>
      </c>
      <c r="F62" s="30"/>
    </row>
    <row r="63" spans="1:6" s="1" customFormat="1" ht="13.5" customHeight="1" x14ac:dyDescent="0.2">
      <c r="A63" s="60">
        <v>4262</v>
      </c>
      <c r="B63" s="47" t="s">
        <v>68</v>
      </c>
      <c r="C63" s="30"/>
      <c r="D63" s="30"/>
      <c r="E63" s="30">
        <v>29507.82</v>
      </c>
      <c r="F63" s="30"/>
    </row>
    <row r="64" spans="1:6" s="1" customFormat="1" ht="13.5" customHeight="1" x14ac:dyDescent="0.2">
      <c r="A64" s="45">
        <v>45</v>
      </c>
      <c r="B64" s="45" t="s">
        <v>69</v>
      </c>
      <c r="C64" s="31">
        <v>1519671</v>
      </c>
      <c r="D64" s="31">
        <v>1519671</v>
      </c>
      <c r="E64" s="31">
        <f>SUM(E65:E66)</f>
        <v>1274714.27</v>
      </c>
      <c r="F64" s="31">
        <f>E64/D64*100</f>
        <v>83.880936729068338</v>
      </c>
    </row>
    <row r="65" spans="1:6" s="1" customFormat="1" ht="13.5" customHeight="1" x14ac:dyDescent="0.2">
      <c r="A65" s="60">
        <v>4511</v>
      </c>
      <c r="B65" s="47" t="s">
        <v>70</v>
      </c>
      <c r="C65" s="30"/>
      <c r="D65" s="30"/>
      <c r="E65" s="30">
        <v>1274714.27</v>
      </c>
      <c r="F65" s="30"/>
    </row>
    <row r="66" spans="1:6" s="1" customFormat="1" ht="13.5" hidden="1" customHeight="1" x14ac:dyDescent="0.2">
      <c r="A66" s="60">
        <v>4521</v>
      </c>
      <c r="B66" s="47" t="s">
        <v>71</v>
      </c>
      <c r="C66" s="30"/>
      <c r="D66" s="30"/>
      <c r="E66" s="30"/>
      <c r="F66" s="30"/>
    </row>
    <row r="67" spans="1:6" s="1" customFormat="1" ht="13.5" customHeight="1" x14ac:dyDescent="0.15">
      <c r="A67" s="44">
        <v>43</v>
      </c>
      <c r="B67" s="44" t="s">
        <v>96</v>
      </c>
      <c r="C67" s="21">
        <f>C68+C74+C101+C105+C107+C112+C114+C120+C124+C137</f>
        <v>27640050</v>
      </c>
      <c r="D67" s="21">
        <f t="shared" ref="D67:E67" si="9">D68+D74+D101+D105+D107+D112+D114+D120+D124+D137</f>
        <v>27640050</v>
      </c>
      <c r="E67" s="21">
        <f t="shared" si="9"/>
        <v>19385394.269999996</v>
      </c>
      <c r="F67" s="22">
        <f t="shared" ref="F67" si="10">E67/D67*100</f>
        <v>70.135163539863328</v>
      </c>
    </row>
    <row r="68" spans="1:6" s="1" customFormat="1" ht="13.5" customHeight="1" x14ac:dyDescent="0.2">
      <c r="A68" s="45">
        <v>31</v>
      </c>
      <c r="B68" s="45" t="s">
        <v>23</v>
      </c>
      <c r="C68" s="31">
        <v>10389616</v>
      </c>
      <c r="D68" s="31">
        <v>10389616</v>
      </c>
      <c r="E68" s="31">
        <f>SUM(E69:E73)</f>
        <v>9642685.5299999993</v>
      </c>
      <c r="F68" s="31">
        <f>E68/D68*100</f>
        <v>92.810798108419007</v>
      </c>
    </row>
    <row r="69" spans="1:6" s="1" customFormat="1" ht="13.5" customHeight="1" x14ac:dyDescent="0.2">
      <c r="A69" s="60">
        <v>3111</v>
      </c>
      <c r="B69" s="47" t="s">
        <v>24</v>
      </c>
      <c r="C69" s="30"/>
      <c r="D69" s="30"/>
      <c r="E69" s="30">
        <v>7358979.0499999998</v>
      </c>
      <c r="F69" s="30"/>
    </row>
    <row r="70" spans="1:6" s="1" customFormat="1" ht="13.5" customHeight="1" x14ac:dyDescent="0.2">
      <c r="A70" s="60">
        <v>3112</v>
      </c>
      <c r="B70" s="47" t="s">
        <v>25</v>
      </c>
      <c r="C70" s="30"/>
      <c r="D70" s="30"/>
      <c r="E70" s="30">
        <v>301707.27</v>
      </c>
      <c r="F70" s="30"/>
    </row>
    <row r="71" spans="1:6" s="1" customFormat="1" ht="13.5" customHeight="1" x14ac:dyDescent="0.2">
      <c r="A71" s="60">
        <v>3121</v>
      </c>
      <c r="B71" s="47" t="s">
        <v>26</v>
      </c>
      <c r="C71" s="30"/>
      <c r="D71" s="30"/>
      <c r="E71" s="30">
        <v>766211.02</v>
      </c>
      <c r="F71" s="30"/>
    </row>
    <row r="72" spans="1:6" s="1" customFormat="1" ht="13.5" customHeight="1" x14ac:dyDescent="0.2">
      <c r="A72" s="60">
        <v>3131</v>
      </c>
      <c r="B72" s="47" t="s">
        <v>72</v>
      </c>
      <c r="C72" s="30"/>
      <c r="D72" s="30"/>
      <c r="E72" s="30">
        <v>15626.33</v>
      </c>
      <c r="F72" s="30"/>
    </row>
    <row r="73" spans="1:6" s="1" customFormat="1" ht="13.5" customHeight="1" x14ac:dyDescent="0.2">
      <c r="A73" s="60">
        <v>3132</v>
      </c>
      <c r="B73" s="47" t="s">
        <v>27</v>
      </c>
      <c r="C73" s="30"/>
      <c r="D73" s="30"/>
      <c r="E73" s="30">
        <v>1200161.8600000001</v>
      </c>
      <c r="F73" s="30"/>
    </row>
    <row r="74" spans="1:6" s="1" customFormat="1" ht="13.5" customHeight="1" x14ac:dyDescent="0.2">
      <c r="A74" s="45">
        <v>32</v>
      </c>
      <c r="B74" s="45" t="s">
        <v>28</v>
      </c>
      <c r="C74" s="31">
        <v>9485875</v>
      </c>
      <c r="D74" s="31">
        <v>9485875</v>
      </c>
      <c r="E74" s="31">
        <f>SUM(E75:E100)</f>
        <v>5951957.1199999992</v>
      </c>
      <c r="F74" s="31">
        <f>E74/D74*100</f>
        <v>62.745472821431861</v>
      </c>
    </row>
    <row r="75" spans="1:6" s="1" customFormat="1" ht="13.5" customHeight="1" x14ac:dyDescent="0.2">
      <c r="A75" s="60">
        <v>3211</v>
      </c>
      <c r="B75" s="47" t="s">
        <v>29</v>
      </c>
      <c r="C75" s="30"/>
      <c r="D75" s="30"/>
      <c r="E75" s="30">
        <v>108021.47</v>
      </c>
      <c r="F75" s="30"/>
    </row>
    <row r="76" spans="1:6" s="1" customFormat="1" ht="13.5" customHeight="1" x14ac:dyDescent="0.2">
      <c r="A76" s="61">
        <v>3212</v>
      </c>
      <c r="B76" s="48" t="s">
        <v>30</v>
      </c>
      <c r="C76" s="30"/>
      <c r="D76" s="30"/>
      <c r="E76" s="30">
        <v>145783.15</v>
      </c>
      <c r="F76" s="30"/>
    </row>
    <row r="77" spans="1:6" s="1" customFormat="1" ht="13.5" customHeight="1" x14ac:dyDescent="0.2">
      <c r="A77" s="60">
        <v>3213</v>
      </c>
      <c r="B77" s="47" t="s">
        <v>31</v>
      </c>
      <c r="C77" s="30"/>
      <c r="D77" s="30"/>
      <c r="E77" s="30">
        <v>46358.21</v>
      </c>
      <c r="F77" s="30"/>
    </row>
    <row r="78" spans="1:6" s="1" customFormat="1" ht="13.5" hidden="1" customHeight="1" x14ac:dyDescent="0.2">
      <c r="A78" s="60">
        <v>3214</v>
      </c>
      <c r="B78" s="47" t="s">
        <v>32</v>
      </c>
      <c r="C78" s="30"/>
      <c r="D78" s="30"/>
      <c r="E78" s="32"/>
      <c r="F78" s="30"/>
    </row>
    <row r="79" spans="1:6" s="1" customFormat="1" ht="13.5" customHeight="1" x14ac:dyDescent="0.2">
      <c r="A79" s="60">
        <v>3221</v>
      </c>
      <c r="B79" s="47" t="s">
        <v>33</v>
      </c>
      <c r="C79" s="30"/>
      <c r="D79" s="30"/>
      <c r="E79" s="30">
        <v>278348.56</v>
      </c>
      <c r="F79" s="30"/>
    </row>
    <row r="80" spans="1:6" s="1" customFormat="1" ht="13.5" customHeight="1" x14ac:dyDescent="0.2">
      <c r="A80" s="60">
        <v>3223</v>
      </c>
      <c r="B80" s="47" t="s">
        <v>35</v>
      </c>
      <c r="C80" s="30"/>
      <c r="D80" s="30"/>
      <c r="E80" s="30">
        <v>1143315.4099999999</v>
      </c>
      <c r="F80" s="30"/>
    </row>
    <row r="81" spans="1:6" s="1" customFormat="1" ht="13.5" customHeight="1" x14ac:dyDescent="0.2">
      <c r="A81" s="61">
        <v>3224</v>
      </c>
      <c r="B81" s="48" t="s">
        <v>36</v>
      </c>
      <c r="C81" s="30"/>
      <c r="D81" s="30"/>
      <c r="E81" s="30">
        <v>137399.93</v>
      </c>
      <c r="F81" s="30"/>
    </row>
    <row r="82" spans="1:6" s="1" customFormat="1" ht="13.5" customHeight="1" x14ac:dyDescent="0.2">
      <c r="A82" s="60">
        <v>3225</v>
      </c>
      <c r="B82" s="47" t="s">
        <v>37</v>
      </c>
      <c r="C82" s="30"/>
      <c r="D82" s="30"/>
      <c r="E82" s="30">
        <v>36134.15</v>
      </c>
      <c r="F82" s="30"/>
    </row>
    <row r="83" spans="1:6" s="1" customFormat="1" ht="13.5" customHeight="1" x14ac:dyDescent="0.2">
      <c r="A83" s="60">
        <v>3227</v>
      </c>
      <c r="B83" s="47" t="s">
        <v>38</v>
      </c>
      <c r="C83" s="30"/>
      <c r="D83" s="30"/>
      <c r="E83" s="30">
        <v>446.69</v>
      </c>
      <c r="F83" s="30"/>
    </row>
    <row r="84" spans="1:6" s="1" customFormat="1" ht="13.5" customHeight="1" x14ac:dyDescent="0.2">
      <c r="A84" s="60">
        <v>3231</v>
      </c>
      <c r="B84" s="47" t="s">
        <v>39</v>
      </c>
      <c r="C84" s="30"/>
      <c r="D84" s="30"/>
      <c r="E84" s="30">
        <v>115595.51</v>
      </c>
      <c r="F84" s="30"/>
    </row>
    <row r="85" spans="1:6" s="1" customFormat="1" ht="13.5" customHeight="1" x14ac:dyDescent="0.2">
      <c r="A85" s="60">
        <v>3232</v>
      </c>
      <c r="B85" s="47" t="s">
        <v>40</v>
      </c>
      <c r="C85" s="30"/>
      <c r="D85" s="30"/>
      <c r="E85" s="30">
        <v>498291.07</v>
      </c>
      <c r="F85" s="30"/>
    </row>
    <row r="86" spans="1:6" s="1" customFormat="1" ht="13.5" customHeight="1" x14ac:dyDescent="0.2">
      <c r="A86" s="60">
        <v>3233</v>
      </c>
      <c r="B86" s="47" t="s">
        <v>41</v>
      </c>
      <c r="C86" s="30"/>
      <c r="D86" s="30"/>
      <c r="E86" s="30">
        <v>381249.3</v>
      </c>
      <c r="F86" s="30"/>
    </row>
    <row r="87" spans="1:6" s="1" customFormat="1" ht="13.5" customHeight="1" x14ac:dyDescent="0.2">
      <c r="A87" s="60">
        <v>3234</v>
      </c>
      <c r="B87" s="47" t="s">
        <v>42</v>
      </c>
      <c r="C87" s="30"/>
      <c r="D87" s="30"/>
      <c r="E87" s="30">
        <v>80829.37</v>
      </c>
      <c r="F87" s="30"/>
    </row>
    <row r="88" spans="1:6" s="1" customFormat="1" ht="13.5" customHeight="1" x14ac:dyDescent="0.2">
      <c r="A88" s="60">
        <v>3235</v>
      </c>
      <c r="B88" s="47" t="s">
        <v>43</v>
      </c>
      <c r="C88" s="30"/>
      <c r="D88" s="30"/>
      <c r="E88" s="30">
        <v>61066.62</v>
      </c>
      <c r="F88" s="30"/>
    </row>
    <row r="89" spans="1:6" s="1" customFormat="1" ht="13.5" customHeight="1" x14ac:dyDescent="0.2">
      <c r="A89" s="60">
        <v>3236</v>
      </c>
      <c r="B89" s="47" t="s">
        <v>44</v>
      </c>
      <c r="C89" s="30"/>
      <c r="D89" s="30"/>
      <c r="E89" s="30">
        <v>27279.24</v>
      </c>
      <c r="F89" s="30"/>
    </row>
    <row r="90" spans="1:6" s="1" customFormat="1" ht="13.5" customHeight="1" x14ac:dyDescent="0.2">
      <c r="A90" s="60">
        <v>3237</v>
      </c>
      <c r="B90" s="47" t="s">
        <v>45</v>
      </c>
      <c r="C90" s="30"/>
      <c r="D90" s="30"/>
      <c r="E90" s="30">
        <v>786242.22</v>
      </c>
      <c r="F90" s="30"/>
    </row>
    <row r="91" spans="1:6" s="1" customFormat="1" ht="13.5" customHeight="1" x14ac:dyDescent="0.2">
      <c r="A91" s="60">
        <v>3238</v>
      </c>
      <c r="B91" s="47" t="s">
        <v>46</v>
      </c>
      <c r="C91" s="30"/>
      <c r="D91" s="30"/>
      <c r="E91" s="30">
        <v>121530.39</v>
      </c>
      <c r="F91" s="30"/>
    </row>
    <row r="92" spans="1:6" s="1" customFormat="1" ht="13.5" customHeight="1" x14ac:dyDescent="0.2">
      <c r="A92" s="60">
        <v>3239</v>
      </c>
      <c r="B92" s="47" t="s">
        <v>47</v>
      </c>
      <c r="C92" s="30"/>
      <c r="D92" s="30"/>
      <c r="E92" s="30">
        <v>300182.37</v>
      </c>
      <c r="F92" s="30"/>
    </row>
    <row r="93" spans="1:6" s="1" customFormat="1" ht="13.5" customHeight="1" x14ac:dyDescent="0.2">
      <c r="A93" s="60">
        <v>3241</v>
      </c>
      <c r="B93" s="47" t="s">
        <v>48</v>
      </c>
      <c r="C93" s="32"/>
      <c r="D93" s="32"/>
      <c r="E93" s="30">
        <v>2331.04</v>
      </c>
      <c r="F93" s="30"/>
    </row>
    <row r="94" spans="1:6" s="1" customFormat="1" ht="12.75" x14ac:dyDescent="0.2">
      <c r="A94" s="60">
        <v>3291</v>
      </c>
      <c r="B94" s="47" t="s">
        <v>73</v>
      </c>
      <c r="C94" s="30"/>
      <c r="D94" s="30"/>
      <c r="E94" s="30">
        <v>11559.56</v>
      </c>
      <c r="F94" s="30"/>
    </row>
    <row r="95" spans="1:6" s="1" customFormat="1" ht="13.5" customHeight="1" x14ac:dyDescent="0.2">
      <c r="A95" s="60">
        <v>3292</v>
      </c>
      <c r="B95" s="47" t="s">
        <v>50</v>
      </c>
      <c r="C95" s="30"/>
      <c r="D95" s="30"/>
      <c r="E95" s="30">
        <v>80612.89</v>
      </c>
      <c r="F95" s="30"/>
    </row>
    <row r="96" spans="1:6" s="1" customFormat="1" ht="13.5" customHeight="1" x14ac:dyDescent="0.2">
      <c r="A96" s="60">
        <v>3293</v>
      </c>
      <c r="B96" s="47" t="s">
        <v>51</v>
      </c>
      <c r="C96" s="30"/>
      <c r="D96" s="30"/>
      <c r="E96" s="30">
        <v>2738.86</v>
      </c>
      <c r="F96" s="30"/>
    </row>
    <row r="97" spans="1:6" s="1" customFormat="1" ht="13.5" customHeight="1" x14ac:dyDescent="0.2">
      <c r="A97" s="60">
        <v>3294</v>
      </c>
      <c r="B97" s="47" t="s">
        <v>52</v>
      </c>
      <c r="C97" s="30"/>
      <c r="D97" s="30"/>
      <c r="E97" s="30">
        <v>6729.37</v>
      </c>
      <c r="F97" s="30"/>
    </row>
    <row r="98" spans="1:6" s="1" customFormat="1" ht="13.5" customHeight="1" x14ac:dyDescent="0.2">
      <c r="A98" s="60">
        <v>3295</v>
      </c>
      <c r="B98" s="47" t="s">
        <v>53</v>
      </c>
      <c r="C98" s="30"/>
      <c r="D98" s="30"/>
      <c r="E98" s="30">
        <v>634915.57999999996</v>
      </c>
      <c r="F98" s="30"/>
    </row>
    <row r="99" spans="1:6" s="1" customFormat="1" ht="13.5" customHeight="1" x14ac:dyDescent="0.2">
      <c r="A99" s="60">
        <v>3296</v>
      </c>
      <c r="B99" s="47" t="s">
        <v>54</v>
      </c>
      <c r="C99" s="30"/>
      <c r="D99" s="30"/>
      <c r="E99" s="30">
        <v>7.7</v>
      </c>
      <c r="F99" s="30"/>
    </row>
    <row r="100" spans="1:6" s="1" customFormat="1" ht="13.5" customHeight="1" x14ac:dyDescent="0.2">
      <c r="A100" s="60">
        <v>3299</v>
      </c>
      <c r="B100" s="47" t="s">
        <v>49</v>
      </c>
      <c r="C100" s="30"/>
      <c r="D100" s="30"/>
      <c r="E100" s="30">
        <v>944988.46</v>
      </c>
      <c r="F100" s="30"/>
    </row>
    <row r="101" spans="1:6" s="1" customFormat="1" ht="13.5" customHeight="1" x14ac:dyDescent="0.2">
      <c r="A101" s="45">
        <v>34</v>
      </c>
      <c r="B101" s="45" t="s">
        <v>55</v>
      </c>
      <c r="C101" s="31">
        <v>71747</v>
      </c>
      <c r="D101" s="31">
        <v>71747</v>
      </c>
      <c r="E101" s="31">
        <f>SUM(E102:E104)</f>
        <v>62405.07</v>
      </c>
      <c r="F101" s="31">
        <f>E101/D101*100</f>
        <v>86.97934408407319</v>
      </c>
    </row>
    <row r="102" spans="1:6" s="1" customFormat="1" ht="13.5" customHeight="1" x14ac:dyDescent="0.2">
      <c r="A102" s="60">
        <v>3431</v>
      </c>
      <c r="B102" s="47" t="s">
        <v>56</v>
      </c>
      <c r="C102" s="30"/>
      <c r="D102" s="30"/>
      <c r="E102" s="30">
        <v>59596.18</v>
      </c>
      <c r="F102" s="30"/>
    </row>
    <row r="103" spans="1:6" s="1" customFormat="1" ht="13.5" customHeight="1" x14ac:dyDescent="0.2">
      <c r="A103" s="60">
        <v>3433</v>
      </c>
      <c r="B103" s="47" t="s">
        <v>58</v>
      </c>
      <c r="C103" s="30"/>
      <c r="D103" s="30"/>
      <c r="E103" s="30">
        <v>2808.89</v>
      </c>
      <c r="F103" s="30"/>
    </row>
    <row r="104" spans="1:6" s="1" customFormat="1" ht="13.5" hidden="1" customHeight="1" x14ac:dyDescent="0.2">
      <c r="A104" s="60">
        <v>3434</v>
      </c>
      <c r="B104" s="47" t="s">
        <v>59</v>
      </c>
      <c r="C104" s="30"/>
      <c r="D104" s="30"/>
      <c r="E104" s="32"/>
      <c r="F104" s="30"/>
    </row>
    <row r="105" spans="1:6" s="1" customFormat="1" ht="13.5" customHeight="1" x14ac:dyDescent="0.2">
      <c r="A105" s="45">
        <v>35</v>
      </c>
      <c r="B105" s="45" t="s">
        <v>74</v>
      </c>
      <c r="C105" s="31">
        <v>60840</v>
      </c>
      <c r="D105" s="31">
        <v>60840</v>
      </c>
      <c r="E105" s="31">
        <f>E106</f>
        <v>71363.45</v>
      </c>
      <c r="F105" s="31">
        <f>E105/D105*100</f>
        <v>117.29692636423405</v>
      </c>
    </row>
    <row r="106" spans="1:6" s="1" customFormat="1" ht="13.5" customHeight="1" x14ac:dyDescent="0.2">
      <c r="A106" s="60">
        <v>3512</v>
      </c>
      <c r="B106" s="47" t="s">
        <v>75</v>
      </c>
      <c r="C106" s="30"/>
      <c r="D106" s="30"/>
      <c r="E106" s="30">
        <v>71363.45</v>
      </c>
      <c r="F106" s="30"/>
    </row>
    <row r="107" spans="1:6" s="1" customFormat="1" ht="13.5" customHeight="1" x14ac:dyDescent="0.2">
      <c r="A107" s="45">
        <v>36</v>
      </c>
      <c r="B107" s="45" t="s">
        <v>76</v>
      </c>
      <c r="C107" s="31">
        <v>2610438</v>
      </c>
      <c r="D107" s="31">
        <v>2610438</v>
      </c>
      <c r="E107" s="31">
        <f>SUM(E108:E111)</f>
        <v>2512908.11</v>
      </c>
      <c r="F107" s="31">
        <f>E107/D107*100</f>
        <v>96.26384959152449</v>
      </c>
    </row>
    <row r="108" spans="1:6" s="1" customFormat="1" ht="13.5" customHeight="1" x14ac:dyDescent="0.2">
      <c r="A108" s="60">
        <v>3631</v>
      </c>
      <c r="B108" s="47" t="s">
        <v>77</v>
      </c>
      <c r="C108" s="32"/>
      <c r="D108" s="32"/>
      <c r="E108" s="30">
        <v>1509320.01</v>
      </c>
      <c r="F108" s="30"/>
    </row>
    <row r="109" spans="1:6" s="1" customFormat="1" ht="12.75" x14ac:dyDescent="0.2">
      <c r="A109" s="61">
        <v>3661</v>
      </c>
      <c r="B109" s="48" t="s">
        <v>78</v>
      </c>
      <c r="C109" s="32"/>
      <c r="D109" s="32"/>
      <c r="E109" s="30">
        <v>8875</v>
      </c>
      <c r="F109" s="30"/>
    </row>
    <row r="110" spans="1:6" s="1" customFormat="1" ht="12.75" x14ac:dyDescent="0.2">
      <c r="A110" s="61">
        <v>3662</v>
      </c>
      <c r="B110" s="48" t="s">
        <v>158</v>
      </c>
      <c r="C110" s="32"/>
      <c r="D110" s="32"/>
      <c r="E110" s="30">
        <v>28875</v>
      </c>
      <c r="F110" s="30"/>
    </row>
    <row r="111" spans="1:6" s="1" customFormat="1" ht="12.75" x14ac:dyDescent="0.2">
      <c r="A111" s="61">
        <v>3691</v>
      </c>
      <c r="B111" s="48" t="s">
        <v>79</v>
      </c>
      <c r="C111" s="30"/>
      <c r="D111" s="30"/>
      <c r="E111" s="30">
        <v>965838.1</v>
      </c>
      <c r="F111" s="30"/>
    </row>
    <row r="112" spans="1:6" s="1" customFormat="1" ht="12.75" customHeight="1" x14ac:dyDescent="0.2">
      <c r="A112" s="45">
        <v>37</v>
      </c>
      <c r="B112" s="45" t="s">
        <v>80</v>
      </c>
      <c r="C112" s="31">
        <v>84545</v>
      </c>
      <c r="D112" s="31">
        <v>84545</v>
      </c>
      <c r="E112" s="31">
        <f>E113</f>
        <v>19302.3</v>
      </c>
      <c r="F112" s="31">
        <f>E112/D112*100</f>
        <v>22.830800165592287</v>
      </c>
    </row>
    <row r="113" spans="1:6" s="1" customFormat="1" ht="13.5" customHeight="1" x14ac:dyDescent="0.2">
      <c r="A113" s="60">
        <v>3721</v>
      </c>
      <c r="B113" s="47" t="s">
        <v>81</v>
      </c>
      <c r="C113" s="30"/>
      <c r="D113" s="30"/>
      <c r="E113" s="30">
        <v>19302.3</v>
      </c>
      <c r="F113" s="30"/>
    </row>
    <row r="114" spans="1:6" s="1" customFormat="1" ht="13.5" customHeight="1" x14ac:dyDescent="0.2">
      <c r="A114" s="45">
        <v>38</v>
      </c>
      <c r="B114" s="45" t="s">
        <v>82</v>
      </c>
      <c r="C114" s="31">
        <v>160741</v>
      </c>
      <c r="D114" s="31">
        <v>160741</v>
      </c>
      <c r="E114" s="31">
        <f>SUM(E115:E119)</f>
        <v>322190.38999999996</v>
      </c>
      <c r="F114" s="31">
        <f>E114/D114*100</f>
        <v>200.44070274541031</v>
      </c>
    </row>
    <row r="115" spans="1:6" s="1" customFormat="1" ht="13.5" customHeight="1" x14ac:dyDescent="0.2">
      <c r="A115" s="60">
        <v>3811</v>
      </c>
      <c r="B115" s="47" t="s">
        <v>83</v>
      </c>
      <c r="C115" s="30"/>
      <c r="D115" s="30"/>
      <c r="E115" s="30">
        <v>109905.17</v>
      </c>
      <c r="F115" s="30"/>
    </row>
    <row r="116" spans="1:6" s="1" customFormat="1" ht="13.5" customHeight="1" x14ac:dyDescent="0.2">
      <c r="A116" s="60">
        <v>3821</v>
      </c>
      <c r="B116" s="47" t="s">
        <v>156</v>
      </c>
      <c r="C116" s="30"/>
      <c r="D116" s="30"/>
      <c r="E116" s="30">
        <v>200000</v>
      </c>
      <c r="F116" s="30"/>
    </row>
    <row r="117" spans="1:6" s="1" customFormat="1" ht="13.5" customHeight="1" x14ac:dyDescent="0.2">
      <c r="A117" s="60">
        <v>3831</v>
      </c>
      <c r="B117" s="47" t="s">
        <v>84</v>
      </c>
      <c r="C117" s="30"/>
      <c r="D117" s="30"/>
      <c r="E117" s="30">
        <v>2640</v>
      </c>
      <c r="F117" s="30"/>
    </row>
    <row r="118" spans="1:6" s="1" customFormat="1" ht="13.5" hidden="1" customHeight="1" x14ac:dyDescent="0.2">
      <c r="A118" s="60">
        <v>3833</v>
      </c>
      <c r="B118" s="47" t="s">
        <v>85</v>
      </c>
      <c r="C118" s="32"/>
      <c r="D118" s="32"/>
      <c r="E118" s="30"/>
      <c r="F118" s="30"/>
    </row>
    <row r="119" spans="1:6" s="1" customFormat="1" ht="13.5" customHeight="1" x14ac:dyDescent="0.2">
      <c r="A119" s="60">
        <v>3835</v>
      </c>
      <c r="B119" s="47" t="s">
        <v>86</v>
      </c>
      <c r="C119" s="30"/>
      <c r="D119" s="30"/>
      <c r="E119" s="30">
        <v>9645.2199999999993</v>
      </c>
      <c r="F119" s="30"/>
    </row>
    <row r="120" spans="1:6" s="1" customFormat="1" ht="13.5" customHeight="1" x14ac:dyDescent="0.2">
      <c r="A120" s="45">
        <v>41</v>
      </c>
      <c r="B120" s="45" t="s">
        <v>87</v>
      </c>
      <c r="C120" s="31">
        <v>1234322</v>
      </c>
      <c r="D120" s="31">
        <v>1234322</v>
      </c>
      <c r="E120" s="31">
        <f>SUM(E121:E123)</f>
        <v>0</v>
      </c>
      <c r="F120" s="31">
        <f>E120/D120*100</f>
        <v>0</v>
      </c>
    </row>
    <row r="121" spans="1:6" s="1" customFormat="1" ht="13.5" hidden="1" customHeight="1" x14ac:dyDescent="0.2">
      <c r="A121" s="60">
        <v>4111</v>
      </c>
      <c r="B121" s="47" t="s">
        <v>88</v>
      </c>
      <c r="C121" s="30"/>
      <c r="D121" s="30"/>
      <c r="E121" s="30"/>
      <c r="F121" s="30"/>
    </row>
    <row r="122" spans="1:6" s="1" customFormat="1" ht="13.5" hidden="1" customHeight="1" x14ac:dyDescent="0.2">
      <c r="A122" s="60">
        <v>4123</v>
      </c>
      <c r="B122" s="47" t="s">
        <v>89</v>
      </c>
      <c r="C122" s="30"/>
      <c r="D122" s="30"/>
      <c r="E122" s="32"/>
      <c r="F122" s="30"/>
    </row>
    <row r="123" spans="1:6" s="1" customFormat="1" ht="13.5" hidden="1" customHeight="1" x14ac:dyDescent="0.2">
      <c r="A123" s="60">
        <v>4124</v>
      </c>
      <c r="B123" s="47" t="s">
        <v>90</v>
      </c>
      <c r="C123" s="30"/>
      <c r="D123" s="30"/>
      <c r="E123" s="30"/>
      <c r="F123" s="30"/>
    </row>
    <row r="124" spans="1:6" s="1" customFormat="1" ht="13.5" customHeight="1" x14ac:dyDescent="0.2">
      <c r="A124" s="45">
        <v>42</v>
      </c>
      <c r="B124" s="45" t="s">
        <v>60</v>
      </c>
      <c r="C124" s="31">
        <v>1948129</v>
      </c>
      <c r="D124" s="31">
        <v>1948129</v>
      </c>
      <c r="E124" s="31">
        <f>SUM(E125:E136)</f>
        <v>590180.15</v>
      </c>
      <c r="F124" s="31">
        <f>E124/D124*100</f>
        <v>30.294716109662147</v>
      </c>
    </row>
    <row r="125" spans="1:6" s="1" customFormat="1" ht="13.5" customHeight="1" x14ac:dyDescent="0.2">
      <c r="A125" s="60">
        <v>4214</v>
      </c>
      <c r="B125" s="47" t="s">
        <v>91</v>
      </c>
      <c r="C125" s="30"/>
      <c r="D125" s="30"/>
      <c r="E125" s="30">
        <v>5375.48</v>
      </c>
      <c r="F125" s="30"/>
    </row>
    <row r="126" spans="1:6" s="1" customFormat="1" ht="13.5" customHeight="1" x14ac:dyDescent="0.2">
      <c r="A126" s="60">
        <v>4221</v>
      </c>
      <c r="B126" s="47" t="s">
        <v>61</v>
      </c>
      <c r="C126" s="30"/>
      <c r="D126" s="30"/>
      <c r="E126" s="30">
        <v>58553.919999999998</v>
      </c>
      <c r="F126" s="30"/>
    </row>
    <row r="127" spans="1:6" s="1" customFormat="1" ht="13.5" customHeight="1" x14ac:dyDescent="0.2">
      <c r="A127" s="60">
        <v>4222</v>
      </c>
      <c r="B127" s="47" t="s">
        <v>62</v>
      </c>
      <c r="C127" s="30"/>
      <c r="D127" s="30"/>
      <c r="E127" s="30">
        <v>258722.83</v>
      </c>
      <c r="F127" s="30"/>
    </row>
    <row r="128" spans="1:6" s="1" customFormat="1" ht="13.5" customHeight="1" x14ac:dyDescent="0.2">
      <c r="A128" s="60">
        <v>4223</v>
      </c>
      <c r="B128" s="47" t="s">
        <v>63</v>
      </c>
      <c r="C128" s="30"/>
      <c r="D128" s="30"/>
      <c r="E128" s="30">
        <v>580</v>
      </c>
      <c r="F128" s="30"/>
    </row>
    <row r="129" spans="1:6" s="1" customFormat="1" ht="13.5" customHeight="1" x14ac:dyDescent="0.2">
      <c r="A129" s="60">
        <v>4224</v>
      </c>
      <c r="B129" s="47" t="s">
        <v>64</v>
      </c>
      <c r="C129" s="30"/>
      <c r="D129" s="30"/>
      <c r="E129" s="30">
        <v>591.5</v>
      </c>
      <c r="F129" s="30"/>
    </row>
    <row r="130" spans="1:6" s="1" customFormat="1" ht="13.5" customHeight="1" x14ac:dyDescent="0.2">
      <c r="A130" s="60">
        <v>4225</v>
      </c>
      <c r="B130" s="47" t="s">
        <v>65</v>
      </c>
      <c r="C130" s="30"/>
      <c r="D130" s="30"/>
      <c r="E130" s="30">
        <v>3531.25</v>
      </c>
      <c r="F130" s="30"/>
    </row>
    <row r="131" spans="1:6" s="1" customFormat="1" ht="13.5" customHeight="1" x14ac:dyDescent="0.2">
      <c r="A131" s="60">
        <v>4226</v>
      </c>
      <c r="B131" s="47" t="s">
        <v>66</v>
      </c>
      <c r="C131" s="30"/>
      <c r="D131" s="30"/>
      <c r="E131" s="30">
        <v>26262.79</v>
      </c>
      <c r="F131" s="30"/>
    </row>
    <row r="132" spans="1:6" s="1" customFormat="1" ht="13.5" customHeight="1" x14ac:dyDescent="0.2">
      <c r="A132" s="60">
        <v>4227</v>
      </c>
      <c r="B132" s="47" t="s">
        <v>67</v>
      </c>
      <c r="C132" s="30"/>
      <c r="D132" s="30"/>
      <c r="E132" s="30">
        <v>56557.51</v>
      </c>
      <c r="F132" s="30"/>
    </row>
    <row r="133" spans="1:6" s="1" customFormat="1" ht="13.5" customHeight="1" x14ac:dyDescent="0.2">
      <c r="A133" s="60">
        <v>4231</v>
      </c>
      <c r="B133" s="47" t="s">
        <v>92</v>
      </c>
      <c r="C133" s="30"/>
      <c r="D133" s="30"/>
      <c r="E133" s="30">
        <v>170718.67</v>
      </c>
      <c r="F133" s="30"/>
    </row>
    <row r="134" spans="1:6" s="1" customFormat="1" ht="13.5" customHeight="1" x14ac:dyDescent="0.2">
      <c r="A134" s="61">
        <v>4233</v>
      </c>
      <c r="B134" s="48" t="s">
        <v>93</v>
      </c>
      <c r="C134" s="30"/>
      <c r="D134" s="30"/>
      <c r="E134" s="30">
        <v>3092.77</v>
      </c>
      <c r="F134" s="30"/>
    </row>
    <row r="135" spans="1:6" s="1" customFormat="1" ht="13.5" customHeight="1" x14ac:dyDescent="0.2">
      <c r="A135" s="60">
        <v>4244</v>
      </c>
      <c r="B135" s="47" t="s">
        <v>94</v>
      </c>
      <c r="C135" s="30"/>
      <c r="D135" s="30"/>
      <c r="E135" s="30">
        <v>701.8</v>
      </c>
      <c r="F135" s="30"/>
    </row>
    <row r="136" spans="1:6" s="1" customFormat="1" ht="13.5" customHeight="1" x14ac:dyDescent="0.2">
      <c r="A136" s="60">
        <v>4262</v>
      </c>
      <c r="B136" s="47" t="s">
        <v>68</v>
      </c>
      <c r="C136" s="30"/>
      <c r="D136" s="30"/>
      <c r="E136" s="30">
        <v>5491.63</v>
      </c>
      <c r="F136" s="30"/>
    </row>
    <row r="137" spans="1:6" s="1" customFormat="1" ht="13.5" customHeight="1" x14ac:dyDescent="0.2">
      <c r="A137" s="45">
        <v>45</v>
      </c>
      <c r="B137" s="45" t="s">
        <v>69</v>
      </c>
      <c r="C137" s="31">
        <v>1593797</v>
      </c>
      <c r="D137" s="31">
        <v>1593797</v>
      </c>
      <c r="E137" s="31">
        <f>SUM(E138:E139)</f>
        <v>212402.15</v>
      </c>
      <c r="F137" s="31">
        <f>E137/D137*100</f>
        <v>13.326800715523996</v>
      </c>
    </row>
    <row r="138" spans="1:6" s="1" customFormat="1" ht="13.5" customHeight="1" x14ac:dyDescent="0.2">
      <c r="A138" s="60">
        <v>4511</v>
      </c>
      <c r="B138" s="47" t="s">
        <v>70</v>
      </c>
      <c r="C138" s="30"/>
      <c r="D138" s="30"/>
      <c r="E138" s="30">
        <v>128839.06</v>
      </c>
      <c r="F138" s="30"/>
    </row>
    <row r="139" spans="1:6" s="1" customFormat="1" ht="13.5" customHeight="1" x14ac:dyDescent="0.2">
      <c r="A139" s="60">
        <v>4521</v>
      </c>
      <c r="B139" s="47" t="s">
        <v>71</v>
      </c>
      <c r="C139" s="30"/>
      <c r="D139" s="30"/>
      <c r="E139" s="30">
        <v>83563.09</v>
      </c>
      <c r="F139" s="30"/>
    </row>
    <row r="140" spans="1:6" ht="13.5" customHeight="1" x14ac:dyDescent="0.2">
      <c r="A140" s="44">
        <v>52</v>
      </c>
      <c r="B140" s="44" t="s">
        <v>97</v>
      </c>
      <c r="C140" s="21">
        <f>C141+C143</f>
        <v>125906</v>
      </c>
      <c r="D140" s="21">
        <f t="shared" ref="D140:E140" si="11">D141+D143</f>
        <v>125906</v>
      </c>
      <c r="E140" s="21">
        <f t="shared" si="11"/>
        <v>125923.68999999999</v>
      </c>
      <c r="F140" s="22">
        <f t="shared" ref="F140" si="12">E140/D140*100</f>
        <v>100.01405016440836</v>
      </c>
    </row>
    <row r="141" spans="1:6" ht="13.5" customHeight="1" x14ac:dyDescent="0.2">
      <c r="A141" s="45">
        <v>32</v>
      </c>
      <c r="B141" s="45" t="s">
        <v>28</v>
      </c>
      <c r="C141" s="31">
        <v>14130</v>
      </c>
      <c r="D141" s="31">
        <v>14130</v>
      </c>
      <c r="E141" s="31">
        <f>E142</f>
        <v>14148.58</v>
      </c>
      <c r="F141" s="31">
        <f>E141/D141*100</f>
        <v>100.1314932767162</v>
      </c>
    </row>
    <row r="142" spans="1:6" ht="13.5" customHeight="1" x14ac:dyDescent="0.2">
      <c r="A142" s="60">
        <v>3235</v>
      </c>
      <c r="B142" s="47" t="s">
        <v>43</v>
      </c>
      <c r="C142" s="30"/>
      <c r="D142" s="30"/>
      <c r="E142" s="30">
        <v>14148.58</v>
      </c>
      <c r="F142" s="30"/>
    </row>
    <row r="143" spans="1:6" x14ac:dyDescent="0.2">
      <c r="A143" s="45">
        <v>42</v>
      </c>
      <c r="B143" s="45" t="s">
        <v>60</v>
      </c>
      <c r="C143" s="31">
        <v>111776</v>
      </c>
      <c r="D143" s="31">
        <v>111776</v>
      </c>
      <c r="E143" s="31">
        <f>SUM(E144:E145)</f>
        <v>111775.10999999999</v>
      </c>
      <c r="F143" s="31">
        <f>E143/D143*100</f>
        <v>99.999203764672188</v>
      </c>
    </row>
    <row r="144" spans="1:6" x14ac:dyDescent="0.2">
      <c r="A144" s="60">
        <v>4227</v>
      </c>
      <c r="B144" s="47" t="s">
        <v>67</v>
      </c>
      <c r="C144" s="30"/>
      <c r="D144" s="30"/>
      <c r="E144" s="30">
        <v>10617.82</v>
      </c>
      <c r="F144" s="30"/>
    </row>
    <row r="145" spans="1:6" x14ac:dyDescent="0.2">
      <c r="A145" s="60">
        <v>4231</v>
      </c>
      <c r="B145" s="47" t="s">
        <v>92</v>
      </c>
      <c r="C145" s="30"/>
      <c r="D145" s="30"/>
      <c r="E145" s="30">
        <v>101157.29</v>
      </c>
      <c r="F145" s="30"/>
    </row>
    <row r="146" spans="1:6" ht="13.5" customHeight="1" x14ac:dyDescent="0.2">
      <c r="A146" s="44">
        <v>61</v>
      </c>
      <c r="B146" s="44" t="s">
        <v>98</v>
      </c>
      <c r="C146" s="21">
        <f>C147</f>
        <v>20097</v>
      </c>
      <c r="D146" s="21">
        <f t="shared" ref="D146:E146" si="13">D147</f>
        <v>20097</v>
      </c>
      <c r="E146" s="21">
        <f t="shared" si="13"/>
        <v>20096.25</v>
      </c>
      <c r="F146" s="22">
        <f t="shared" ref="F146" si="14">E146/D146*100</f>
        <v>99.996268099716374</v>
      </c>
    </row>
    <row r="147" spans="1:6" ht="13.5" customHeight="1" x14ac:dyDescent="0.2">
      <c r="A147" s="45">
        <v>32</v>
      </c>
      <c r="B147" s="45" t="s">
        <v>28</v>
      </c>
      <c r="C147" s="31">
        <v>20097</v>
      </c>
      <c r="D147" s="31">
        <v>20097</v>
      </c>
      <c r="E147" s="31">
        <f>E148</f>
        <v>20096.25</v>
      </c>
      <c r="F147" s="31">
        <f>E147/D147*100</f>
        <v>99.996268099716374</v>
      </c>
    </row>
    <row r="148" spans="1:6" ht="13.5" customHeight="1" x14ac:dyDescent="0.2">
      <c r="A148" s="60">
        <v>3239</v>
      </c>
      <c r="B148" s="47" t="s">
        <v>47</v>
      </c>
      <c r="C148" s="30"/>
      <c r="D148" s="30"/>
      <c r="E148" s="30">
        <v>20096.25</v>
      </c>
      <c r="F148" s="30"/>
    </row>
  </sheetData>
  <mergeCells count="6">
    <mergeCell ref="A1:F1"/>
    <mergeCell ref="A3:F3"/>
    <mergeCell ref="A4:F4"/>
    <mergeCell ref="A7:B7"/>
    <mergeCell ref="A8:B8"/>
    <mergeCell ref="A5:F5"/>
  </mergeCells>
  <phoneticPr fontId="18" type="noConversion"/>
  <printOptions horizontalCentered="1"/>
  <pageMargins left="0.11811023622047245" right="0.11811023622047245" top="0.55118110236220474" bottom="0.35433070866141736" header="0.31496062992125984" footer="0.11811023622047245"/>
  <pageSetup paperSize="9" orientation="landscape" horizontalDpi="4294967295" verticalDpi="4294967295" r:id="rId1"/>
  <headerFooter>
    <oddFooter>&amp;C
&amp;"Arial,Uobičajeno"&amp;9Stranica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9</vt:i4>
      </vt:variant>
    </vt:vector>
  </HeadingPairs>
  <TitlesOfParts>
    <vt:vector size="14" baseType="lpstr">
      <vt:lpstr>Sažetak</vt:lpstr>
      <vt:lpstr>Izvještaj po ekonomskoj klasif</vt:lpstr>
      <vt:lpstr>Izvještaj po izvorima financir</vt:lpstr>
      <vt:lpstr>Izvještaj po funkcijskoj klasif</vt:lpstr>
      <vt:lpstr>Posebni dio</vt:lpstr>
      <vt:lpstr>'Izvještaj po ekonomskoj klasif'!Ispis_naslova</vt:lpstr>
      <vt:lpstr>'Izvještaj po funkcijskoj klasif'!Ispis_naslova</vt:lpstr>
      <vt:lpstr>'Izvještaj po izvorima financir'!Ispis_naslova</vt:lpstr>
      <vt:lpstr>'Posebni dio'!Ispis_naslova</vt:lpstr>
      <vt:lpstr>'Izvještaj po ekonomskoj klasif'!Podrucje_ispisa</vt:lpstr>
      <vt:lpstr>'Izvještaj po funkcijskoj klasif'!Podrucje_ispisa</vt:lpstr>
      <vt:lpstr>'Izvještaj po izvorima financir'!Podrucje_ispisa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Mirijana Labaš</dc:creator>
  <cp:lastModifiedBy>Silvija Rubčić Kovačić</cp:lastModifiedBy>
  <cp:lastPrinted>2024-03-28T12:52:02Z</cp:lastPrinted>
  <dcterms:created xsi:type="dcterms:W3CDTF">2023-07-05T09:57:13Z</dcterms:created>
  <dcterms:modified xsi:type="dcterms:W3CDTF">2024-03-28T12:55:25Z</dcterms:modified>
</cp:coreProperties>
</file>